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grcgt-my.sharepoint.com/personal/ashish_kumar3_in_gt_com/Documents/Desktop/MODEL DPRS BUSINESS PLANS/AIF/"/>
    </mc:Choice>
  </mc:AlternateContent>
  <xr:revisionPtr revIDLastSave="2" documentId="8_{6AC9C203-05A9-4054-BA78-90E1C0F4C4B4}" xr6:coauthVersionLast="47" xr6:coauthVersionMax="47" xr10:uidLastSave="{198BBD97-C33D-4C6C-BB27-D2C50934EF6F}"/>
  <bookViews>
    <workbookView xWindow="-110" yWindow="-110" windowWidth="19420" windowHeight="10300" activeTab="1" xr2:uid="{8B0049CE-B79C-4EF0-8FA8-FBBF9BECEBD1}"/>
  </bookViews>
  <sheets>
    <sheet name="Contents" sheetId="21" r:id="rId1"/>
    <sheet name="Ann 1" sheetId="1" r:id="rId2"/>
    <sheet name="Ann 2" sheetId="2" r:id="rId3"/>
    <sheet name="Ann 3" sheetId="3" r:id="rId4"/>
    <sheet name="Ann 4" sheetId="4" r:id="rId5"/>
    <sheet name="Ann 5" sheetId="7" r:id="rId6"/>
    <sheet name="Ann 6" sheetId="23" state="hidden" r:id="rId7"/>
    <sheet name="Ann 8" sheetId="9" r:id="rId8"/>
    <sheet name="Ann 9" sheetId="10" r:id="rId9"/>
    <sheet name="Ann 10" sheetId="13" r:id="rId10"/>
    <sheet name="Ann 11" sheetId="11" r:id="rId11"/>
    <sheet name="Ann 12" sheetId="12" state="hidden" r:id="rId12"/>
    <sheet name="Ann 13" sheetId="14" r:id="rId13"/>
    <sheet name="Ann 14" sheetId="18" r:id="rId14"/>
    <sheet name="Budgets" sheetId="19" r:id="rId15"/>
    <sheet name="For word file" sheetId="20" state="hidden" r:id="rId16"/>
    <sheet name="Assumptions" sheetId="22" r:id="rId17"/>
    <sheet name="Sheet1" sheetId="15" state="hidden" r:id="rId18"/>
  </sheets>
  <externalReferences>
    <externalReference r:id="rId19"/>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3" i="11" l="1"/>
  <c r="E7" i="9"/>
  <c r="B14" i="19"/>
  <c r="E4" i="3"/>
  <c r="D5" i="22"/>
  <c r="C44" i="4"/>
  <c r="C8" i="4" s="1"/>
  <c r="E9" i="9" l="1"/>
  <c r="E17" i="3" l="1"/>
  <c r="E10" i="9"/>
  <c r="C21" i="11"/>
  <c r="C35" i="1"/>
  <c r="E4" i="22"/>
  <c r="E5" i="22" s="1"/>
  <c r="B8" i="18"/>
  <c r="C32" i="4"/>
  <c r="B13" i="18" s="1"/>
  <c r="E18" i="9"/>
  <c r="E8" i="10"/>
  <c r="E6" i="10"/>
  <c r="F5" i="19" l="1"/>
  <c r="F6" i="19" s="1"/>
  <c r="E12" i="10"/>
  <c r="E13" i="10" s="1"/>
  <c r="F4" i="22"/>
  <c r="B5" i="19"/>
  <c r="C5" i="19"/>
  <c r="D5" i="19"/>
  <c r="J5" i="19"/>
  <c r="I5" i="19"/>
  <c r="E5" i="19"/>
  <c r="H5" i="19"/>
  <c r="G5" i="19"/>
  <c r="C23" i="1"/>
  <c r="E8" i="9"/>
  <c r="D28" i="4"/>
  <c r="E28" i="4"/>
  <c r="F28" i="4"/>
  <c r="G28" i="4"/>
  <c r="H28" i="4"/>
  <c r="I28" i="4"/>
  <c r="J28" i="4"/>
  <c r="K28" i="4"/>
  <c r="C28" i="4"/>
  <c r="C7" i="2"/>
  <c r="E5" i="3"/>
  <c r="B13" i="23"/>
  <c r="B9" i="23"/>
  <c r="B15" i="23" l="1"/>
  <c r="B17" i="23" s="1"/>
  <c r="F8" i="19"/>
  <c r="G17" i="4"/>
  <c r="G18" i="4"/>
  <c r="G4" i="22"/>
  <c r="F5" i="22"/>
  <c r="J6" i="19"/>
  <c r="C6" i="19"/>
  <c r="B6" i="19"/>
  <c r="D6" i="19"/>
  <c r="F23" i="19"/>
  <c r="F24" i="19"/>
  <c r="G6" i="19"/>
  <c r="H6" i="19"/>
  <c r="E6" i="19"/>
  <c r="I6" i="19"/>
  <c r="F7" i="19"/>
  <c r="G7" i="4" s="1"/>
  <c r="B4" i="18"/>
  <c r="D8" i="11"/>
  <c r="C25" i="11" s="1"/>
  <c r="E14" i="10"/>
  <c r="C9" i="4"/>
  <c r="C15" i="1"/>
  <c r="C6" i="10" s="1"/>
  <c r="E21" i="3"/>
  <c r="B18" i="19"/>
  <c r="A6" i="21"/>
  <c r="D8" i="19" l="1"/>
  <c r="E18" i="4"/>
  <c r="E17" i="4"/>
  <c r="C18" i="4"/>
  <c r="C17" i="4"/>
  <c r="C8" i="19"/>
  <c r="D17" i="4"/>
  <c r="D18" i="4"/>
  <c r="E8" i="19"/>
  <c r="F18" i="4"/>
  <c r="F17" i="4"/>
  <c r="K17" i="4"/>
  <c r="K18" i="4"/>
  <c r="I17" i="4"/>
  <c r="I18" i="4"/>
  <c r="I8" i="19"/>
  <c r="J17" i="4"/>
  <c r="J18" i="4"/>
  <c r="H17" i="4"/>
  <c r="H18" i="4"/>
  <c r="H4" i="22"/>
  <c r="G5" i="22"/>
  <c r="F9" i="19"/>
  <c r="F10" i="19" s="1"/>
  <c r="G23" i="4" s="1"/>
  <c r="G10" i="4" s="1"/>
  <c r="D9" i="4"/>
  <c r="E9" i="4" s="1"/>
  <c r="F9" i="4" s="1"/>
  <c r="G9" i="4" s="1"/>
  <c r="H9" i="4" s="1"/>
  <c r="I9" i="4" s="1"/>
  <c r="J9" i="4" s="1"/>
  <c r="K9" i="4" s="1"/>
  <c r="E14" i="11"/>
  <c r="G7" i="19"/>
  <c r="H7" i="4" s="1"/>
  <c r="G8" i="19"/>
  <c r="H7" i="19"/>
  <c r="I7" i="4" s="1"/>
  <c r="H8" i="19"/>
  <c r="J7" i="19"/>
  <c r="K7" i="4" s="1"/>
  <c r="J8" i="19"/>
  <c r="B23" i="19"/>
  <c r="B8" i="19"/>
  <c r="B24" i="19"/>
  <c r="G24" i="19"/>
  <c r="G23" i="19"/>
  <c r="B7" i="19"/>
  <c r="C7" i="4" s="1"/>
  <c r="C24" i="19"/>
  <c r="C23" i="19"/>
  <c r="E23" i="19"/>
  <c r="E24" i="19"/>
  <c r="H24" i="19"/>
  <c r="H23" i="19"/>
  <c r="I24" i="19"/>
  <c r="I23" i="19"/>
  <c r="C7" i="19"/>
  <c r="D7" i="4" s="1"/>
  <c r="D23" i="19"/>
  <c r="D24" i="19"/>
  <c r="D7" i="19"/>
  <c r="E7" i="4" s="1"/>
  <c r="I7" i="19"/>
  <c r="J7" i="4" s="1"/>
  <c r="E7" i="19"/>
  <c r="F7" i="4" s="1"/>
  <c r="J24" i="19"/>
  <c r="J23" i="19"/>
  <c r="E15" i="10"/>
  <c r="A13" i="21"/>
  <c r="A11" i="21"/>
  <c r="A10" i="21"/>
  <c r="A9" i="21"/>
  <c r="K47" i="7"/>
  <c r="J47" i="7"/>
  <c r="D23" i="7"/>
  <c r="E23" i="7"/>
  <c r="F23" i="7"/>
  <c r="G23" i="7"/>
  <c r="H23" i="7"/>
  <c r="I23" i="7"/>
  <c r="I34" i="7" s="1"/>
  <c r="J23" i="7"/>
  <c r="J34" i="7" s="1"/>
  <c r="K23" i="7"/>
  <c r="K34" i="7" s="1"/>
  <c r="C23" i="7"/>
  <c r="A14" i="21"/>
  <c r="H5" i="22" l="1"/>
  <c r="I4" i="22"/>
  <c r="J4" i="22" s="1"/>
  <c r="K4" i="22" s="1"/>
  <c r="L4" i="22" s="1"/>
  <c r="E9" i="19"/>
  <c r="E10" i="19" s="1"/>
  <c r="F23" i="4" s="1"/>
  <c r="F10" i="4" s="1"/>
  <c r="H9" i="19"/>
  <c r="H10" i="19" s="1"/>
  <c r="I23" i="4" s="1"/>
  <c r="I10" i="4" s="1"/>
  <c r="G9" i="19"/>
  <c r="G10" i="19" s="1"/>
  <c r="H23" i="4" s="1"/>
  <c r="H10" i="4" s="1"/>
  <c r="I9" i="19"/>
  <c r="I10" i="19" s="1"/>
  <c r="J23" i="4" s="1"/>
  <c r="J10" i="4" s="1"/>
  <c r="J9" i="19"/>
  <c r="J10" i="19" s="1"/>
  <c r="K23" i="4" s="1"/>
  <c r="K10" i="4" s="1"/>
  <c r="D9" i="19"/>
  <c r="D10" i="19" s="1"/>
  <c r="E23" i="4" s="1"/>
  <c r="E10" i="4" s="1"/>
  <c r="C9" i="19"/>
  <c r="C10" i="19" s="1"/>
  <c r="D23" i="4" s="1"/>
  <c r="D10" i="4" s="1"/>
  <c r="B9" i="19"/>
  <c r="B10" i="19" s="1"/>
  <c r="C23" i="4" s="1"/>
  <c r="C10" i="4" s="1"/>
  <c r="G12" i="7"/>
  <c r="B25" i="19"/>
  <c r="C13" i="4" s="1"/>
  <c r="E16" i="10"/>
  <c r="E17" i="10" s="1"/>
  <c r="A16" i="21"/>
  <c r="A15" i="21"/>
  <c r="A12" i="21"/>
  <c r="A8" i="21"/>
  <c r="A7" i="21"/>
  <c r="A5" i="21"/>
  <c r="A4" i="21"/>
  <c r="C24" i="18"/>
  <c r="K24" i="18"/>
  <c r="J24" i="18"/>
  <c r="I24" i="18"/>
  <c r="H24" i="18"/>
  <c r="G24" i="18"/>
  <c r="F24" i="18"/>
  <c r="E24" i="18"/>
  <c r="D24" i="18"/>
  <c r="I5" i="22" l="1"/>
  <c r="K12" i="7"/>
  <c r="I12" i="7"/>
  <c r="H12" i="7"/>
  <c r="E12" i="7"/>
  <c r="F12" i="7"/>
  <c r="D12" i="7"/>
  <c r="J12" i="7"/>
  <c r="C12" i="7"/>
  <c r="C22" i="19"/>
  <c r="C25" i="19" s="1"/>
  <c r="D13" i="4" s="1"/>
  <c r="E18" i="10"/>
  <c r="E19" i="10" s="1"/>
  <c r="E20" i="10" s="1"/>
  <c r="I41" i="7"/>
  <c r="J41" i="7"/>
  <c r="K41" i="7"/>
  <c r="J5" i="22" l="1"/>
  <c r="D22" i="19"/>
  <c r="D25" i="19" s="1"/>
  <c r="E13" i="4" s="1"/>
  <c r="D12" i="4"/>
  <c r="C13" i="7"/>
  <c r="C19" i="1"/>
  <c r="D43" i="4"/>
  <c r="D44" i="4" s="1"/>
  <c r="D8" i="4" s="1"/>
  <c r="K5" i="22" l="1"/>
  <c r="L5" i="22"/>
  <c r="D13" i="7"/>
  <c r="E12" i="4"/>
  <c r="E22" i="19"/>
  <c r="E25" i="19" s="1"/>
  <c r="F13" i="4" s="1"/>
  <c r="E43" i="4"/>
  <c r="E44" i="4" s="1"/>
  <c r="E8" i="4" s="1"/>
  <c r="F12" i="4" l="1"/>
  <c r="E13" i="7"/>
  <c r="F22" i="19"/>
  <c r="F25" i="19" s="1"/>
  <c r="G13" i="4" s="1"/>
  <c r="F43" i="4"/>
  <c r="F44" i="4" s="1"/>
  <c r="F8" i="4" s="1"/>
  <c r="G22" i="19" l="1"/>
  <c r="G25" i="19" s="1"/>
  <c r="H13" i="4" s="1"/>
  <c r="G12" i="4"/>
  <c r="F13" i="7"/>
  <c r="G43" i="4"/>
  <c r="G44" i="4" s="1"/>
  <c r="G8" i="4" s="1"/>
  <c r="G13" i="7" l="1"/>
  <c r="H12" i="4"/>
  <c r="H22" i="19"/>
  <c r="H25" i="19" s="1"/>
  <c r="I13" i="4" s="1"/>
  <c r="K24" i="7"/>
  <c r="K29" i="7" s="1"/>
  <c r="C9" i="18"/>
  <c r="E5" i="11"/>
  <c r="D7" i="11" s="1"/>
  <c r="J3" i="20"/>
  <c r="B3" i="20"/>
  <c r="H43" i="4"/>
  <c r="H44" i="4" s="1"/>
  <c r="H8" i="4" s="1"/>
  <c r="I22" i="19" l="1"/>
  <c r="I25" i="19" s="1"/>
  <c r="J13" i="4" s="1"/>
  <c r="I12" i="4"/>
  <c r="H13" i="7"/>
  <c r="I24" i="7"/>
  <c r="I29" i="7" s="1"/>
  <c r="G24" i="7"/>
  <c r="G29" i="7" s="1"/>
  <c r="D9" i="18"/>
  <c r="J24" i="7"/>
  <c r="J29" i="7" s="1"/>
  <c r="E9" i="18"/>
  <c r="H24" i="7"/>
  <c r="H29" i="7" s="1"/>
  <c r="C11" i="4"/>
  <c r="C14" i="4" s="1"/>
  <c r="C24" i="7"/>
  <c r="C29" i="7" s="1"/>
  <c r="G11" i="4"/>
  <c r="G14" i="4" s="1"/>
  <c r="G3" i="20"/>
  <c r="C3" i="20"/>
  <c r="D3" i="20"/>
  <c r="I3" i="20"/>
  <c r="H3" i="20"/>
  <c r="E3" i="20"/>
  <c r="F3" i="20"/>
  <c r="I43" i="4"/>
  <c r="I44" i="4" l="1"/>
  <c r="I8" i="4" s="1"/>
  <c r="J43" i="4"/>
  <c r="K43" i="4" s="1"/>
  <c r="J12" i="4"/>
  <c r="I13" i="7"/>
  <c r="J22" i="19"/>
  <c r="J25" i="19" s="1"/>
  <c r="K13" i="4" s="1"/>
  <c r="H11" i="4"/>
  <c r="H14" i="4" s="1"/>
  <c r="D11" i="4"/>
  <c r="D14" i="4" s="1"/>
  <c r="D24" i="7"/>
  <c r="D29" i="7" s="1"/>
  <c r="E11" i="4"/>
  <c r="E14" i="4" s="1"/>
  <c r="E24" i="7"/>
  <c r="E29" i="7" s="1"/>
  <c r="F11" i="4"/>
  <c r="F14" i="4" s="1"/>
  <c r="F24" i="7"/>
  <c r="F29" i="7" s="1"/>
  <c r="J44" i="4" l="1"/>
  <c r="J8" i="4" s="1"/>
  <c r="J11" i="4" s="1"/>
  <c r="J14" i="4" s="1"/>
  <c r="K13" i="7"/>
  <c r="I11" i="4"/>
  <c r="I14" i="4" s="1"/>
  <c r="K12" i="4"/>
  <c r="J13" i="7"/>
  <c r="K44" i="4"/>
  <c r="K8" i="4" s="1"/>
  <c r="C12" i="1"/>
  <c r="J29" i="4"/>
  <c r="K29" i="4"/>
  <c r="K14" i="18" s="1"/>
  <c r="J14" i="18" l="1"/>
  <c r="J46" i="7"/>
  <c r="K46" i="7"/>
  <c r="K11" i="4" l="1"/>
  <c r="K14" i="4" s="1"/>
  <c r="D9" i="11"/>
  <c r="C24" i="11" s="1"/>
  <c r="E9" i="11" l="1"/>
  <c r="E10" i="11" s="1"/>
  <c r="J48" i="7"/>
  <c r="K48" i="7"/>
  <c r="C12" i="10"/>
  <c r="C20" i="1"/>
  <c r="C16" i="1"/>
  <c r="F8" i="10"/>
  <c r="F7" i="10"/>
  <c r="E6" i="9"/>
  <c r="E11" i="9" s="1"/>
  <c r="E13" i="9" s="1"/>
  <c r="C9" i="1"/>
  <c r="C41" i="1" l="1"/>
  <c r="D6" i="10"/>
  <c r="D12" i="10" s="1"/>
  <c r="D13" i="10" s="1"/>
  <c r="D14" i="10" s="1"/>
  <c r="D11" i="18"/>
  <c r="C7" i="15"/>
  <c r="E11" i="18"/>
  <c r="C13" i="10"/>
  <c r="C3" i="15"/>
  <c r="K6" i="12"/>
  <c r="E5" i="12"/>
  <c r="H6" i="12"/>
  <c r="E6" i="12"/>
  <c r="D6" i="12"/>
  <c r="F6" i="12"/>
  <c r="F5" i="12"/>
  <c r="G5" i="12"/>
  <c r="I6" i="12"/>
  <c r="C8" i="2" l="1"/>
  <c r="D7" i="2" s="1"/>
  <c r="D5" i="14"/>
  <c r="G33" i="4" s="1"/>
  <c r="C4" i="2"/>
  <c r="C18" i="7" s="1"/>
  <c r="B10" i="13"/>
  <c r="C10" i="7"/>
  <c r="F12" i="10"/>
  <c r="E13" i="11" s="1"/>
  <c r="F6" i="10"/>
  <c r="C34" i="4"/>
  <c r="F13" i="10"/>
  <c r="E14" i="9"/>
  <c r="F3" i="15"/>
  <c r="F11" i="18"/>
  <c r="C14" i="10"/>
  <c r="F14" i="10" s="1"/>
  <c r="C10" i="13"/>
  <c r="D34" i="4"/>
  <c r="D10" i="7"/>
  <c r="E3" i="15"/>
  <c r="D3" i="15"/>
  <c r="H5" i="12"/>
  <c r="J5" i="12"/>
  <c r="C6" i="12"/>
  <c r="J6" i="12"/>
  <c r="D5" i="12"/>
  <c r="I5" i="12"/>
  <c r="C5" i="12"/>
  <c r="G6" i="12"/>
  <c r="K5" i="12"/>
  <c r="D15" i="10"/>
  <c r="D16" i="10" s="1"/>
  <c r="D17" i="10" s="1"/>
  <c r="C6" i="2" l="1"/>
  <c r="D6" i="2" s="1"/>
  <c r="B5" i="18"/>
  <c r="C26" i="11"/>
  <c r="E12" i="11"/>
  <c r="F9" i="10"/>
  <c r="E16" i="9"/>
  <c r="C16" i="4"/>
  <c r="C20" i="4" s="1"/>
  <c r="G11" i="18"/>
  <c r="E34" i="4"/>
  <c r="E10" i="7"/>
  <c r="D10" i="13"/>
  <c r="C15" i="10"/>
  <c r="D18" i="10"/>
  <c r="D4" i="14" l="1"/>
  <c r="D12" i="14" s="1"/>
  <c r="B6" i="18"/>
  <c r="B25" i="18" s="1"/>
  <c r="B7" i="18"/>
  <c r="B27" i="18" s="1"/>
  <c r="B28" i="18" s="1"/>
  <c r="C9" i="7"/>
  <c r="C11" i="7" s="1"/>
  <c r="D9" i="7" s="1"/>
  <c r="D11" i="7" s="1"/>
  <c r="D40" i="7" s="1"/>
  <c r="D16" i="4"/>
  <c r="D20" i="4" s="1"/>
  <c r="F15" i="10"/>
  <c r="F9" i="18"/>
  <c r="H11" i="18"/>
  <c r="G3" i="15"/>
  <c r="F10" i="7"/>
  <c r="E10" i="13"/>
  <c r="F34" i="4"/>
  <c r="C16" i="10"/>
  <c r="C17" i="10" s="1"/>
  <c r="D19" i="10"/>
  <c r="D20" i="10" s="1"/>
  <c r="C12" i="14" l="1"/>
  <c r="E12" i="14" s="1"/>
  <c r="C11" i="14"/>
  <c r="E11" i="14" s="1"/>
  <c r="C10" i="14"/>
  <c r="E10" i="14" s="1"/>
  <c r="D13" i="14"/>
  <c r="D14" i="14" s="1"/>
  <c r="B15" i="18"/>
  <c r="B21" i="18"/>
  <c r="C4" i="18" s="1"/>
  <c r="C25" i="18" s="1"/>
  <c r="C26" i="18" s="1"/>
  <c r="C40" i="7"/>
  <c r="E9" i="7"/>
  <c r="E11" i="7" s="1"/>
  <c r="E40" i="7" s="1"/>
  <c r="E16" i="4"/>
  <c r="E20" i="4" s="1"/>
  <c r="C13" i="14"/>
  <c r="D10" i="18"/>
  <c r="B30" i="18"/>
  <c r="B26" i="18"/>
  <c r="B31" i="18" s="1"/>
  <c r="F16" i="10"/>
  <c r="G9" i="18"/>
  <c r="I11" i="18"/>
  <c r="H3" i="15"/>
  <c r="G10" i="7"/>
  <c r="F10" i="13"/>
  <c r="G34" i="4"/>
  <c r="C18" i="10"/>
  <c r="H34" i="4"/>
  <c r="C20" i="18" l="1"/>
  <c r="C47" i="7"/>
  <c r="D15" i="14"/>
  <c r="D16" i="14" s="1"/>
  <c r="D17" i="14" s="1"/>
  <c r="D18" i="14" s="1"/>
  <c r="F9" i="7"/>
  <c r="F11" i="7" s="1"/>
  <c r="F40" i="7" s="1"/>
  <c r="F16" i="4"/>
  <c r="F20" i="4" s="1"/>
  <c r="E22" i="4"/>
  <c r="E13" i="14"/>
  <c r="E17" i="11" s="1"/>
  <c r="E18" i="11" s="1"/>
  <c r="C27" i="11" s="1"/>
  <c r="C28" i="11" s="1"/>
  <c r="C14" i="14"/>
  <c r="D12" i="18"/>
  <c r="E10" i="18"/>
  <c r="D22" i="4"/>
  <c r="D24" i="4" s="1"/>
  <c r="D49" i="7" s="1"/>
  <c r="F17" i="10"/>
  <c r="H9" i="18"/>
  <c r="J11" i="18"/>
  <c r="I3" i="15"/>
  <c r="H10" i="7"/>
  <c r="G10" i="13"/>
  <c r="C19" i="10"/>
  <c r="D47" i="7" l="1"/>
  <c r="D20" i="18"/>
  <c r="G9" i="7"/>
  <c r="G11" i="7" s="1"/>
  <c r="G40" i="7" s="1"/>
  <c r="D19" i="14"/>
  <c r="D20" i="14" s="1"/>
  <c r="D21" i="14" s="1"/>
  <c r="D22" i="14" s="1"/>
  <c r="E12" i="18"/>
  <c r="G16" i="4"/>
  <c r="G20" i="4" s="1"/>
  <c r="F22" i="4"/>
  <c r="C27" i="4"/>
  <c r="C29" i="4" s="1"/>
  <c r="C14" i="18" s="1"/>
  <c r="E14" i="14"/>
  <c r="C22" i="7"/>
  <c r="C15" i="14"/>
  <c r="F10" i="18"/>
  <c r="C4" i="20"/>
  <c r="C5" i="20" s="1"/>
  <c r="C6" i="20" s="1"/>
  <c r="F18" i="10"/>
  <c r="E24" i="4"/>
  <c r="E49" i="7" s="1"/>
  <c r="D4" i="20"/>
  <c r="C20" i="10"/>
  <c r="F19" i="10"/>
  <c r="I9" i="18"/>
  <c r="K11" i="18"/>
  <c r="I10" i="7"/>
  <c r="I34" i="4"/>
  <c r="H10" i="13"/>
  <c r="I10" i="13"/>
  <c r="J10" i="7"/>
  <c r="J34" i="4"/>
  <c r="E20" i="18" l="1"/>
  <c r="E47" i="7"/>
  <c r="H9" i="7"/>
  <c r="H11" i="7" s="1"/>
  <c r="H40" i="7" s="1"/>
  <c r="D23" i="14"/>
  <c r="D24" i="14" s="1"/>
  <c r="D25" i="14" s="1"/>
  <c r="D26" i="14" s="1"/>
  <c r="H16" i="4"/>
  <c r="H20" i="4" s="1"/>
  <c r="G22" i="4"/>
  <c r="F4" i="20" s="1"/>
  <c r="F5" i="20" s="1"/>
  <c r="F6" i="20" s="1"/>
  <c r="F12" i="18"/>
  <c r="C46" i="7"/>
  <c r="C48" i="7" s="1"/>
  <c r="C41" i="7"/>
  <c r="C42" i="7" s="1"/>
  <c r="C34" i="7"/>
  <c r="E15" i="14"/>
  <c r="C16" i="14"/>
  <c r="G10" i="18"/>
  <c r="F20" i="10"/>
  <c r="F24" i="4"/>
  <c r="F49" i="7" s="1"/>
  <c r="E4" i="20"/>
  <c r="E5" i="20" s="1"/>
  <c r="E6" i="20" s="1"/>
  <c r="D5" i="20"/>
  <c r="D6" i="20" s="1"/>
  <c r="K34" i="4"/>
  <c r="J10" i="13"/>
  <c r="J9" i="18"/>
  <c r="K9" i="18"/>
  <c r="K10" i="7"/>
  <c r="I9" i="7" l="1"/>
  <c r="I11" i="7" s="1"/>
  <c r="J9" i="7" s="1"/>
  <c r="J11" i="7" s="1"/>
  <c r="J40" i="7" s="1"/>
  <c r="F20" i="18"/>
  <c r="F47" i="7"/>
  <c r="D29" i="14"/>
  <c r="D30" i="14" s="1"/>
  <c r="D31" i="14" s="1"/>
  <c r="D32" i="14" s="1"/>
  <c r="D33" i="14" s="1"/>
  <c r="D34" i="14" s="1"/>
  <c r="D35" i="14" s="1"/>
  <c r="D36" i="14" s="1"/>
  <c r="D37" i="14" s="1"/>
  <c r="G12" i="18"/>
  <c r="I16" i="4"/>
  <c r="I20" i="4" s="1"/>
  <c r="H12" i="18"/>
  <c r="E16" i="14"/>
  <c r="C17" i="14"/>
  <c r="H10" i="18"/>
  <c r="G24" i="4"/>
  <c r="G49" i="7" s="1"/>
  <c r="K9" i="7" l="1"/>
  <c r="K11" i="7" s="1"/>
  <c r="K40" i="7" s="1"/>
  <c r="I40" i="7"/>
  <c r="G20" i="18"/>
  <c r="G47" i="7"/>
  <c r="H22" i="4"/>
  <c r="G4" i="20" s="1"/>
  <c r="G5" i="20" s="1"/>
  <c r="G6" i="20" s="1"/>
  <c r="J16" i="4"/>
  <c r="J20" i="4" s="1"/>
  <c r="I22" i="4"/>
  <c r="H4" i="20" s="1"/>
  <c r="H5" i="20" s="1"/>
  <c r="H6" i="20" s="1"/>
  <c r="E17" i="14"/>
  <c r="D27" i="4" s="1"/>
  <c r="D29" i="4" s="1"/>
  <c r="C18" i="14"/>
  <c r="I10" i="18"/>
  <c r="I12" i="18" l="1"/>
  <c r="K16" i="4"/>
  <c r="K20" i="4" s="1"/>
  <c r="J22" i="4"/>
  <c r="I4" i="20" s="1"/>
  <c r="I5" i="20" s="1"/>
  <c r="I6" i="20" s="1"/>
  <c r="E18" i="14"/>
  <c r="D22" i="7"/>
  <c r="C19" i="14"/>
  <c r="D14" i="18"/>
  <c r="D46" i="7"/>
  <c r="D48" i="7" s="1"/>
  <c r="D50" i="7" s="1"/>
  <c r="D31" i="4"/>
  <c r="J10" i="18"/>
  <c r="H24" i="4"/>
  <c r="H49" i="7" s="1"/>
  <c r="J12" i="18" l="1"/>
  <c r="D35" i="4"/>
  <c r="C7" i="13"/>
  <c r="C9" i="13" s="1"/>
  <c r="C11" i="13" s="1"/>
  <c r="C13" i="13" s="1"/>
  <c r="C14" i="13" s="1"/>
  <c r="D36" i="4" s="1"/>
  <c r="D16" i="18" s="1"/>
  <c r="E19" i="14"/>
  <c r="C20" i="14"/>
  <c r="D34" i="7"/>
  <c r="D41" i="7"/>
  <c r="D42" i="7" s="1"/>
  <c r="K10" i="18"/>
  <c r="H47" i="7" l="1"/>
  <c r="H20" i="18"/>
  <c r="E20" i="14"/>
  <c r="C21" i="14"/>
  <c r="C7" i="20"/>
  <c r="D37" i="4"/>
  <c r="D38" i="4" s="1"/>
  <c r="K12" i="18"/>
  <c r="K22" i="4"/>
  <c r="J4" i="20" s="1"/>
  <c r="J5" i="20" s="1"/>
  <c r="J6" i="20" s="1"/>
  <c r="I24" i="4"/>
  <c r="I49" i="7" s="1"/>
  <c r="I47" i="7" l="1"/>
  <c r="I20" i="18"/>
  <c r="D18" i="18"/>
  <c r="D27" i="18" s="1"/>
  <c r="D28" i="18" s="1"/>
  <c r="C8" i="20"/>
  <c r="E21" i="14"/>
  <c r="E27" i="4" s="1"/>
  <c r="E29" i="4" s="1"/>
  <c r="C22" i="14"/>
  <c r="D39" i="4" l="1"/>
  <c r="D19" i="7" s="1"/>
  <c r="E31" i="4"/>
  <c r="E46" i="7"/>
  <c r="E48" i="7" s="1"/>
  <c r="E50" i="7" s="1"/>
  <c r="E14" i="18"/>
  <c r="E22" i="14"/>
  <c r="C23" i="14"/>
  <c r="E22" i="7"/>
  <c r="E34" i="7" l="1"/>
  <c r="E41" i="7"/>
  <c r="E42" i="7" s="1"/>
  <c r="E23" i="14"/>
  <c r="C24" i="14"/>
  <c r="E35" i="4"/>
  <c r="D7" i="13"/>
  <c r="D9" i="13" s="1"/>
  <c r="D11" i="13" s="1"/>
  <c r="D13" i="13" s="1"/>
  <c r="D14" i="13" s="1"/>
  <c r="E36" i="4" s="1"/>
  <c r="E16" i="18" s="1"/>
  <c r="J24" i="4"/>
  <c r="J3" i="15"/>
  <c r="K3" i="15"/>
  <c r="D7" i="20" l="1"/>
  <c r="E37" i="4"/>
  <c r="E38" i="4" s="1"/>
  <c r="E24" i="14"/>
  <c r="C25" i="14"/>
  <c r="J31" i="4"/>
  <c r="J35" i="4" s="1"/>
  <c r="J49" i="7"/>
  <c r="K24" i="4"/>
  <c r="E25" i="14" l="1"/>
  <c r="F27" i="4" s="1"/>
  <c r="F29" i="4" s="1"/>
  <c r="C26" i="14"/>
  <c r="E18" i="18"/>
  <c r="E27" i="18" s="1"/>
  <c r="E28" i="18" s="1"/>
  <c r="D8" i="20"/>
  <c r="I7" i="20"/>
  <c r="I7" i="13"/>
  <c r="I9" i="13" s="1"/>
  <c r="I11" i="13" s="1"/>
  <c r="I13" i="13" s="1"/>
  <c r="I14" i="13" s="1"/>
  <c r="J36" i="4" s="1"/>
  <c r="J16" i="18" s="1"/>
  <c r="K31" i="4"/>
  <c r="K35" i="4" s="1"/>
  <c r="K49" i="7"/>
  <c r="E39" i="4" l="1"/>
  <c r="E19" i="7" s="1"/>
  <c r="F46" i="7"/>
  <c r="F48" i="7" s="1"/>
  <c r="F50" i="7" s="1"/>
  <c r="F31" i="4"/>
  <c r="F14" i="18"/>
  <c r="E26" i="14"/>
  <c r="F22" i="7"/>
  <c r="C27" i="14"/>
  <c r="J7" i="20"/>
  <c r="J37" i="4"/>
  <c r="J38" i="4" s="1"/>
  <c r="J7" i="13"/>
  <c r="J9" i="13" s="1"/>
  <c r="J11" i="13" s="1"/>
  <c r="J13" i="13" s="1"/>
  <c r="J14" i="13" s="1"/>
  <c r="K36" i="4" s="1"/>
  <c r="E27" i="14" l="1"/>
  <c r="C28" i="14"/>
  <c r="F34" i="7"/>
  <c r="F41" i="7"/>
  <c r="F42" i="7" s="1"/>
  <c r="F35" i="4"/>
  <c r="E7" i="13"/>
  <c r="E9" i="13" s="1"/>
  <c r="E11" i="13" s="1"/>
  <c r="E13" i="13" s="1"/>
  <c r="E14" i="13" s="1"/>
  <c r="F36" i="4" s="1"/>
  <c r="F16" i="18" s="1"/>
  <c r="J39" i="4"/>
  <c r="J19" i="7" s="1"/>
  <c r="I8" i="20"/>
  <c r="K37" i="4"/>
  <c r="K38" i="4" s="1"/>
  <c r="K16" i="18"/>
  <c r="E7" i="20" l="1"/>
  <c r="F37" i="4"/>
  <c r="F38" i="4" s="1"/>
  <c r="J18" i="18"/>
  <c r="J27" i="18" s="1"/>
  <c r="K39" i="4"/>
  <c r="K19" i="7" s="1"/>
  <c r="J8" i="20"/>
  <c r="F18" i="18" l="1"/>
  <c r="F27" i="18" s="1"/>
  <c r="F28" i="18" s="1"/>
  <c r="E8" i="20"/>
  <c r="G27" i="4"/>
  <c r="G29" i="4" s="1"/>
  <c r="G22" i="7"/>
  <c r="J28" i="18"/>
  <c r="K18" i="18"/>
  <c r="K27" i="18" s="1"/>
  <c r="F39" i="4" l="1"/>
  <c r="F19" i="7" s="1"/>
  <c r="G41" i="7"/>
  <c r="G42" i="7" s="1"/>
  <c r="G34" i="7"/>
  <c r="G14" i="18"/>
  <c r="G46" i="7"/>
  <c r="G48" i="7" s="1"/>
  <c r="G50" i="7" s="1"/>
  <c r="G31" i="4"/>
  <c r="G35" i="4" s="1"/>
  <c r="K28" i="18"/>
  <c r="F7" i="13" l="1"/>
  <c r="F9" i="13" s="1"/>
  <c r="F11" i="13" s="1"/>
  <c r="F13" i="13" s="1"/>
  <c r="F14" i="13" s="1"/>
  <c r="G36" i="4" s="1"/>
  <c r="G16" i="18" s="1"/>
  <c r="F7" i="20" l="1"/>
  <c r="G37" i="4"/>
  <c r="G38" i="4" s="1"/>
  <c r="G18" i="18" l="1"/>
  <c r="G27" i="18" s="1"/>
  <c r="G28" i="18" s="1"/>
  <c r="F8" i="20"/>
  <c r="H27" i="4"/>
  <c r="H29" i="4" s="1"/>
  <c r="H22" i="7"/>
  <c r="G39" i="4" l="1"/>
  <c r="G19" i="7" s="1"/>
  <c r="H46" i="7"/>
  <c r="H48" i="7" s="1"/>
  <c r="H50" i="7" s="1"/>
  <c r="H31" i="4"/>
  <c r="H35" i="4" s="1"/>
  <c r="H14" i="18"/>
  <c r="H34" i="7"/>
  <c r="H41" i="7"/>
  <c r="F43" i="7" s="1"/>
  <c r="G7" i="13" l="1"/>
  <c r="G9" i="13" s="1"/>
  <c r="G11" i="13" s="1"/>
  <c r="G13" i="13" s="1"/>
  <c r="G14" i="13" s="1"/>
  <c r="H36" i="4" s="1"/>
  <c r="H16" i="18" s="1"/>
  <c r="G7" i="20" l="1"/>
  <c r="H37" i="4"/>
  <c r="H38" i="4" s="1"/>
  <c r="I27" i="4" l="1"/>
  <c r="I29" i="4" s="1"/>
  <c r="I14" i="18" s="1"/>
  <c r="H18" i="18"/>
  <c r="H27" i="18" s="1"/>
  <c r="H28" i="18" s="1"/>
  <c r="G8" i="20"/>
  <c r="I31" i="4" l="1"/>
  <c r="I35" i="4" s="1"/>
  <c r="I46" i="7"/>
  <c r="I48" i="7" s="1"/>
  <c r="H39" i="4"/>
  <c r="H19" i="7" s="1"/>
  <c r="H7" i="13" l="1"/>
  <c r="H9" i="13" s="1"/>
  <c r="H11" i="13" s="1"/>
  <c r="H13" i="13" s="1"/>
  <c r="H14" i="13" s="1"/>
  <c r="I36" i="4" s="1"/>
  <c r="I16" i="18" s="1"/>
  <c r="H7" i="20"/>
  <c r="I37" i="4" l="1"/>
  <c r="I38" i="4" s="1"/>
  <c r="H8" i="20" l="1"/>
  <c r="I18" i="18"/>
  <c r="I27" i="18" s="1"/>
  <c r="I28" i="18" s="1"/>
  <c r="I39" i="4"/>
  <c r="I19" i="7" s="1"/>
  <c r="C12" i="18"/>
  <c r="C15" i="18" s="1"/>
  <c r="C22" i="4"/>
  <c r="C24" i="4" l="1"/>
  <c r="B4" i="20"/>
  <c r="B5" i="20" s="1"/>
  <c r="B6" i="20" s="1"/>
  <c r="C49" i="7" l="1"/>
  <c r="C50" i="7" s="1"/>
  <c r="F51" i="7" s="1"/>
  <c r="C31" i="4"/>
  <c r="C35" i="4" s="1"/>
  <c r="B7" i="13" l="1"/>
  <c r="B9" i="13" s="1"/>
  <c r="B11" i="13" s="1"/>
  <c r="B13" i="13" s="1"/>
  <c r="B14" i="13" s="1"/>
  <c r="C36" i="4" s="1"/>
  <c r="C16" i="18" s="1"/>
  <c r="C17" i="18" l="1"/>
  <c r="C37" i="4"/>
  <c r="C38" i="4" s="1"/>
  <c r="B7" i="20"/>
  <c r="B8" i="20" l="1"/>
  <c r="C18" i="18" l="1"/>
  <c r="C27" i="18" s="1"/>
  <c r="C39" i="4"/>
  <c r="C19" i="7" s="1"/>
  <c r="C21" i="7" s="1"/>
  <c r="C35" i="7" l="1"/>
  <c r="C36" i="7" s="1"/>
  <c r="C25" i="7"/>
  <c r="D18" i="7"/>
  <c r="D21" i="7" s="1"/>
  <c r="C19" i="18"/>
  <c r="C21" i="18" s="1"/>
  <c r="C14" i="7" s="1"/>
  <c r="D4" i="18" l="1"/>
  <c r="D15" i="18" s="1"/>
  <c r="C30" i="18"/>
  <c r="C31" i="18" s="1"/>
  <c r="C28" i="18"/>
  <c r="E18" i="7"/>
  <c r="E21" i="7" s="1"/>
  <c r="D25" i="7"/>
  <c r="D35" i="7"/>
  <c r="D36" i="7" s="1"/>
  <c r="E35" i="7" l="1"/>
  <c r="E36" i="7" s="1"/>
  <c r="F18" i="7"/>
  <c r="F21" i="7" s="1"/>
  <c r="E25" i="7"/>
  <c r="D25" i="18"/>
  <c r="D17" i="18"/>
  <c r="D19" i="18" s="1"/>
  <c r="D21" i="18" s="1"/>
  <c r="C15" i="7"/>
  <c r="C28" i="7"/>
  <c r="C30" i="7" s="1"/>
  <c r="E4" i="18" l="1"/>
  <c r="E15" i="18" s="1"/>
  <c r="D14" i="7"/>
  <c r="D30" i="18"/>
  <c r="D31" i="18" s="1"/>
  <c r="D26" i="18"/>
  <c r="F35" i="7"/>
  <c r="F36" i="7" s="1"/>
  <c r="F25" i="7"/>
  <c r="G18" i="7"/>
  <c r="G21" i="7" s="1"/>
  <c r="G35" i="7" l="1"/>
  <c r="G36" i="7" s="1"/>
  <c r="G25" i="7"/>
  <c r="H18" i="7"/>
  <c r="H21" i="7" s="1"/>
  <c r="D28" i="7"/>
  <c r="D30" i="7" s="1"/>
  <c r="D15" i="7"/>
  <c r="E17" i="18"/>
  <c r="E19" i="18" s="1"/>
  <c r="E21" i="18" s="1"/>
  <c r="E25" i="18"/>
  <c r="E14" i="7" l="1"/>
  <c r="F4" i="18"/>
  <c r="E26" i="18"/>
  <c r="E30" i="18"/>
  <c r="E31" i="18" s="1"/>
  <c r="I18" i="7"/>
  <c r="I21" i="7" s="1"/>
  <c r="H25" i="7"/>
  <c r="H35" i="7"/>
  <c r="H36" i="7" s="1"/>
  <c r="J18" i="7" l="1"/>
  <c r="J21" i="7" s="1"/>
  <c r="I35" i="7"/>
  <c r="I36" i="7" s="1"/>
  <c r="I25" i="7"/>
  <c r="F25" i="18"/>
  <c r="F15" i="18"/>
  <c r="F17" i="18" s="1"/>
  <c r="F19" i="18" s="1"/>
  <c r="F21" i="18" s="1"/>
  <c r="E28" i="7"/>
  <c r="E30" i="7" s="1"/>
  <c r="E15" i="7"/>
  <c r="F14" i="7" l="1"/>
  <c r="G4" i="18"/>
  <c r="F30" i="18"/>
  <c r="F31" i="18" s="1"/>
  <c r="F26" i="18"/>
  <c r="J25" i="7"/>
  <c r="K18" i="7"/>
  <c r="K21" i="7" s="1"/>
  <c r="J35" i="7"/>
  <c r="J36" i="7" s="1"/>
  <c r="K35" i="7" l="1"/>
  <c r="K36" i="7" s="1"/>
  <c r="F37" i="7" s="1"/>
  <c r="K25" i="7"/>
  <c r="G15" i="18"/>
  <c r="G17" i="18" s="1"/>
  <c r="G19" i="18" s="1"/>
  <c r="G21" i="18" s="1"/>
  <c r="G25" i="18"/>
  <c r="F15" i="7"/>
  <c r="F28" i="7"/>
  <c r="F30" i="7" s="1"/>
  <c r="G30" i="18" l="1"/>
  <c r="G31" i="18" s="1"/>
  <c r="G26" i="18"/>
  <c r="H4" i="18"/>
  <c r="G14" i="7"/>
  <c r="G28" i="7" l="1"/>
  <c r="G30" i="7" s="1"/>
  <c r="G15" i="7"/>
  <c r="H25" i="18"/>
  <c r="H15" i="18"/>
  <c r="H17" i="18" s="1"/>
  <c r="H19" i="18" s="1"/>
  <c r="H21" i="18" s="1"/>
  <c r="H26" i="18" l="1"/>
  <c r="H30" i="18"/>
  <c r="H31" i="18" s="1"/>
  <c r="I4" i="18"/>
  <c r="H14" i="7"/>
  <c r="H15" i="7" l="1"/>
  <c r="H28" i="7"/>
  <c r="H30" i="7" s="1"/>
  <c r="I25" i="18"/>
  <c r="I15" i="18"/>
  <c r="I17" i="18" s="1"/>
  <c r="I19" i="18" s="1"/>
  <c r="I21" i="18" s="1"/>
  <c r="J4" i="18" l="1"/>
  <c r="I14" i="7"/>
  <c r="I26" i="18"/>
  <c r="I30" i="18"/>
  <c r="I31" i="18" s="1"/>
  <c r="I15" i="7" l="1"/>
  <c r="I28" i="7"/>
  <c r="I30" i="7" s="1"/>
  <c r="J25" i="18"/>
  <c r="J15" i="18"/>
  <c r="J17" i="18" s="1"/>
  <c r="J19" i="18" s="1"/>
  <c r="J21" i="18" s="1"/>
  <c r="K4" i="18" l="1"/>
  <c r="J14" i="7"/>
  <c r="J30" i="18"/>
  <c r="J31" i="18" s="1"/>
  <c r="J26" i="18"/>
  <c r="J15" i="7" l="1"/>
  <c r="J28" i="7"/>
  <c r="J30" i="7" s="1"/>
  <c r="K25" i="18"/>
  <c r="K15" i="18"/>
  <c r="K17" i="18" s="1"/>
  <c r="K19" i="18" s="1"/>
  <c r="K21" i="18" s="1"/>
  <c r="K14" i="7" s="1"/>
  <c r="K28" i="7" l="1"/>
  <c r="K30" i="7" s="1"/>
  <c r="F31" i="7" s="1"/>
  <c r="K15" i="7"/>
  <c r="K30" i="18"/>
  <c r="K31" i="18" s="1"/>
  <c r="L31" i="18" s="1"/>
  <c r="K26" i="18"/>
</calcChain>
</file>

<file path=xl/sharedStrings.xml><?xml version="1.0" encoding="utf-8"?>
<sst xmlns="http://schemas.openxmlformats.org/spreadsheetml/2006/main" count="449" uniqueCount="327">
  <si>
    <t>Annexure 1 - Estimated cost of the project</t>
  </si>
  <si>
    <t>Estimated cost of project</t>
  </si>
  <si>
    <t xml:space="preserve">Sr. No. </t>
  </si>
  <si>
    <t>Particulars</t>
  </si>
  <si>
    <t>Grand Total (in lakhs)</t>
  </si>
  <si>
    <t>(a)</t>
  </si>
  <si>
    <t>Land and site development</t>
  </si>
  <si>
    <t>Total</t>
  </si>
  <si>
    <t>Civil Work</t>
  </si>
  <si>
    <t>Plant and Machinery (indegenous)</t>
  </si>
  <si>
    <t>Plant and Machinery</t>
  </si>
  <si>
    <t>Miscellanoeus Fixed Assets</t>
  </si>
  <si>
    <t>Cost</t>
  </si>
  <si>
    <t>Working Capital Margin</t>
  </si>
  <si>
    <t>Preliminary Expenses</t>
  </si>
  <si>
    <t>Security Deposit</t>
  </si>
  <si>
    <t>Pre-Operative Expense</t>
  </si>
  <si>
    <t>(for 6 months upto the date od commencement of commercial production)</t>
  </si>
  <si>
    <t>Establisment and Travelling and Other Expenses</t>
  </si>
  <si>
    <t>(b)</t>
  </si>
  <si>
    <t>Legal and Misc Expense</t>
  </si>
  <si>
    <t>Total Cost of Project</t>
  </si>
  <si>
    <t>Annexure 2 - Means of Finance</t>
  </si>
  <si>
    <t>Sr. No.</t>
  </si>
  <si>
    <t>Item</t>
  </si>
  <si>
    <t>Promoter's equity</t>
  </si>
  <si>
    <t>Eligible Assistance</t>
  </si>
  <si>
    <t>Term Loan</t>
  </si>
  <si>
    <t>CC Limit</t>
  </si>
  <si>
    <t>Annexure 3 - Complete Estimate of Civil and Plant and Machinery</t>
  </si>
  <si>
    <t>Units</t>
  </si>
  <si>
    <t>Amt</t>
  </si>
  <si>
    <t>2. Plant and machinery</t>
  </si>
  <si>
    <t>Total Plant and Machinery</t>
  </si>
  <si>
    <t>Total fixed Assets</t>
  </si>
  <si>
    <t>Annexure 4 - Estimated Cost of Production</t>
  </si>
  <si>
    <t>Sr. No</t>
  </si>
  <si>
    <t>Description</t>
  </si>
  <si>
    <t>I</t>
  </si>
  <si>
    <t>II</t>
  </si>
  <si>
    <t>III</t>
  </si>
  <si>
    <t>IV</t>
  </si>
  <si>
    <t>V</t>
  </si>
  <si>
    <t>VI</t>
  </si>
  <si>
    <t>VII</t>
  </si>
  <si>
    <t>VIII</t>
  </si>
  <si>
    <t>IX</t>
  </si>
  <si>
    <t>Year ending March 31st</t>
  </si>
  <si>
    <t>No of Working months</t>
  </si>
  <si>
    <t>Sales</t>
  </si>
  <si>
    <t>Administrative salaries and wages</t>
  </si>
  <si>
    <t>S. No.</t>
  </si>
  <si>
    <t>Designation</t>
  </si>
  <si>
    <t>In no.</t>
  </si>
  <si>
    <t>Salary per person per month</t>
  </si>
  <si>
    <t>i.</t>
  </si>
  <si>
    <t>ii.</t>
  </si>
  <si>
    <t>Total annual wages</t>
  </si>
  <si>
    <t>Annual increase in wages</t>
  </si>
  <si>
    <t>iii.</t>
  </si>
  <si>
    <t>Computation of Depreciation</t>
  </si>
  <si>
    <t>Annexure 9 - Computation of Depreciation</t>
  </si>
  <si>
    <t>Pre operatives</t>
  </si>
  <si>
    <t>Contingencies</t>
  </si>
  <si>
    <t>Building and civil work</t>
  </si>
  <si>
    <t>Misc Fixed Asset</t>
  </si>
  <si>
    <t>Amount in lakhs</t>
  </si>
  <si>
    <t>Rates of Depreciation</t>
  </si>
  <si>
    <t>Year</t>
  </si>
  <si>
    <t>Annexure 11- Break even analysis (At maximum capacity utilization)</t>
  </si>
  <si>
    <t>Break even capacity at maximum capacity utilixzation</t>
  </si>
  <si>
    <t>Variable cost</t>
  </si>
  <si>
    <t>- Running and maintenance cost</t>
  </si>
  <si>
    <t>- Interest on Working capital</t>
  </si>
  <si>
    <t>Contribution</t>
  </si>
  <si>
    <t>Wages and salaries</t>
  </si>
  <si>
    <t>- electricity expense</t>
  </si>
  <si>
    <t>Depreciation</t>
  </si>
  <si>
    <t>Fixed cost</t>
  </si>
  <si>
    <t>Sales price per kg</t>
  </si>
  <si>
    <t>Annexure 12 - Profitability statement</t>
  </si>
  <si>
    <t>Years</t>
  </si>
  <si>
    <t>Vegetable procument expense</t>
  </si>
  <si>
    <t>Fruits procurement expense</t>
  </si>
  <si>
    <t>Direct Expenses</t>
  </si>
  <si>
    <t>Cost of Sales</t>
  </si>
  <si>
    <t>Expected sales revenue</t>
  </si>
  <si>
    <t>Gross Profit</t>
  </si>
  <si>
    <t>Financial expense</t>
  </si>
  <si>
    <t>Interest on Term Loan</t>
  </si>
  <si>
    <t>Annexure 13 - Repayment schedule</t>
  </si>
  <si>
    <t>Repayment schedule</t>
  </si>
  <si>
    <t>Amount of Loan (in lakhs)</t>
  </si>
  <si>
    <t>Rate of interest</t>
  </si>
  <si>
    <t>Moratorium period</t>
  </si>
  <si>
    <t>Quarter</t>
  </si>
  <si>
    <t>Balance outstanding</t>
  </si>
  <si>
    <t>Interest</t>
  </si>
  <si>
    <t>Principal instalment</t>
  </si>
  <si>
    <t>Operating profits (PBT)</t>
  </si>
  <si>
    <t>depreciation</t>
  </si>
  <si>
    <t>Net Profit before Tax</t>
  </si>
  <si>
    <t>Income Tax</t>
  </si>
  <si>
    <t>Profits after Tax</t>
  </si>
  <si>
    <t>Annexure 10 - Calculation of Income tax</t>
  </si>
  <si>
    <t>Calculation of Income Tax</t>
  </si>
  <si>
    <t>Net profit before tax</t>
  </si>
  <si>
    <t>Add- dep on SLM</t>
  </si>
  <si>
    <t>Sub total</t>
  </si>
  <si>
    <t>Less- Dep on WDV</t>
  </si>
  <si>
    <t>Less - Deductions</t>
  </si>
  <si>
    <t>Taxable profits</t>
  </si>
  <si>
    <t>Income tax @30%</t>
  </si>
  <si>
    <t>Profit transfer to balance sheet</t>
  </si>
  <si>
    <t>Annexure 5- Projected balance sheet</t>
  </si>
  <si>
    <t>Projected Baalance sheet</t>
  </si>
  <si>
    <t>Asset</t>
  </si>
  <si>
    <t>Fixed Capital expenditure</t>
  </si>
  <si>
    <t>Gross Block</t>
  </si>
  <si>
    <t>Less- Depreciation</t>
  </si>
  <si>
    <t>net Block</t>
  </si>
  <si>
    <t>Sundry debtors</t>
  </si>
  <si>
    <t>Cash/ bank balance</t>
  </si>
  <si>
    <t>Liabilities</t>
  </si>
  <si>
    <t>Capital</t>
  </si>
  <si>
    <t>Add- Profit</t>
  </si>
  <si>
    <t>Less- Drawings</t>
  </si>
  <si>
    <t>Closing capital</t>
  </si>
  <si>
    <t>term Loan</t>
  </si>
  <si>
    <t>Total liabilities</t>
  </si>
  <si>
    <t>Total assets</t>
  </si>
  <si>
    <t>Current Ratio</t>
  </si>
  <si>
    <t>Current Assets</t>
  </si>
  <si>
    <t>Current Liabilities</t>
  </si>
  <si>
    <t>Debt Equity ratio</t>
  </si>
  <si>
    <t>Debt</t>
  </si>
  <si>
    <t>Equity</t>
  </si>
  <si>
    <t>Ratio</t>
  </si>
  <si>
    <t>cash flow statement</t>
  </si>
  <si>
    <t>Sales realized</t>
  </si>
  <si>
    <t>Term loan</t>
  </si>
  <si>
    <t>assisstance</t>
  </si>
  <si>
    <t>less- Purchase of assets</t>
  </si>
  <si>
    <t>Debt service coverage ratio</t>
  </si>
  <si>
    <t>Interest on loan (TL + WC)</t>
  </si>
  <si>
    <t>Net operating income</t>
  </si>
  <si>
    <t>ratio</t>
  </si>
  <si>
    <t>Instalment of loan</t>
  </si>
  <si>
    <t>A</t>
  </si>
  <si>
    <t>B</t>
  </si>
  <si>
    <t>Average</t>
  </si>
  <si>
    <t>Fixed asset coverage ratio</t>
  </si>
  <si>
    <t>Fixed assets</t>
  </si>
  <si>
    <t>6 months</t>
  </si>
  <si>
    <t>Annexure 8 - Details of Mnpower</t>
  </si>
  <si>
    <t>Details of Manpower</t>
  </si>
  <si>
    <t>Creditors</t>
  </si>
  <si>
    <t>Total manpower</t>
  </si>
  <si>
    <t>opening balance</t>
  </si>
  <si>
    <t>Add: Sales realizations</t>
  </si>
  <si>
    <t>Less: Interest payments</t>
  </si>
  <si>
    <t>Working capital</t>
  </si>
  <si>
    <t>Interest on WC Loan</t>
  </si>
  <si>
    <t>Site Development</t>
  </si>
  <si>
    <t>Sales Budget</t>
  </si>
  <si>
    <t>Products</t>
  </si>
  <si>
    <t>Production at 100% capacity</t>
  </si>
  <si>
    <t>Output</t>
  </si>
  <si>
    <t>Electricity expense</t>
  </si>
  <si>
    <t>Usage in units</t>
  </si>
  <si>
    <t>Cost of Production</t>
  </si>
  <si>
    <t>Sub Total</t>
  </si>
  <si>
    <t>Total depreciation for the year</t>
  </si>
  <si>
    <t>Preliminary Expense</t>
  </si>
  <si>
    <t>Less: Payment made to creditors of previos year</t>
  </si>
  <si>
    <t>Add: Receipts from debtors of previos year</t>
  </si>
  <si>
    <t>Less: Payments made for current year purchase</t>
  </si>
  <si>
    <t>Less: Distrubutions made from profits</t>
  </si>
  <si>
    <t>Less: Income tax</t>
  </si>
  <si>
    <t>Less: Principal repayment of loan</t>
  </si>
  <si>
    <t>Closing cash balance</t>
  </si>
  <si>
    <t>PV dicounting rate</t>
  </si>
  <si>
    <t>PVF</t>
  </si>
  <si>
    <t>Inflows</t>
  </si>
  <si>
    <t>PV of Inflows</t>
  </si>
  <si>
    <t>Outflows</t>
  </si>
  <si>
    <t>PV of Outflows</t>
  </si>
  <si>
    <t>Net cash inflow</t>
  </si>
  <si>
    <t>Net Present value</t>
  </si>
  <si>
    <t>Turnover</t>
  </si>
  <si>
    <t>Cost Of operations</t>
  </si>
  <si>
    <t>Gross profit</t>
  </si>
  <si>
    <t>EBITDA</t>
  </si>
  <si>
    <t>Profit before tax</t>
  </si>
  <si>
    <t>Profit after tax</t>
  </si>
  <si>
    <t>Total BEP %</t>
  </si>
  <si>
    <t>Interest on TL</t>
  </si>
  <si>
    <t>Add: Capital</t>
  </si>
  <si>
    <t>Add: Loan disbursement</t>
  </si>
  <si>
    <t>Less: Purchase of asset</t>
  </si>
  <si>
    <t>Contents Table</t>
  </si>
  <si>
    <t>Contents</t>
  </si>
  <si>
    <t>Link</t>
  </si>
  <si>
    <t>Ann 1'!A1</t>
  </si>
  <si>
    <t>Ann 2'!A1</t>
  </si>
  <si>
    <t>Ann 4'!A1</t>
  </si>
  <si>
    <t>Ann 5'!A1</t>
  </si>
  <si>
    <t>Ann 8'!A1</t>
  </si>
  <si>
    <t>Ann 9'!A1</t>
  </si>
  <si>
    <t>Ann 10'!A1</t>
  </si>
  <si>
    <t>Ann 11'!A1</t>
  </si>
  <si>
    <t>Ann 13'!A1</t>
  </si>
  <si>
    <t>Assumptions!A1</t>
  </si>
  <si>
    <t>Budgets!A1</t>
  </si>
  <si>
    <t>S. no.</t>
  </si>
  <si>
    <t>Assumptions</t>
  </si>
  <si>
    <t>Electricity usage in units is given below</t>
  </si>
  <si>
    <t>Annual cost</t>
  </si>
  <si>
    <t>Ann 3'!A1</t>
  </si>
  <si>
    <t>Break-even point is the condition when an entity generate sufficient revenue that it can meet its fixed expense after deducting any variable expense, i.e., the point where contribution is equal to the fixed expense.</t>
  </si>
  <si>
    <t>Annexure 6 - requirement of Power and Fuel</t>
  </si>
  <si>
    <t>Fuel</t>
  </si>
  <si>
    <t>Mileage</t>
  </si>
  <si>
    <t>requirement of Fuel</t>
  </si>
  <si>
    <t>Speed of tractor</t>
  </si>
  <si>
    <t>Fuel requirement as per the operative hours</t>
  </si>
  <si>
    <t xml:space="preserve"> km per litre</t>
  </si>
  <si>
    <t xml:space="preserve"> km per hour</t>
  </si>
  <si>
    <t>litres</t>
  </si>
  <si>
    <t>- For Tractor</t>
  </si>
  <si>
    <t>- For Pwer tiller</t>
  </si>
  <si>
    <t>Litre per hour</t>
  </si>
  <si>
    <t>Fuel requirement during the year for 30 units</t>
  </si>
  <si>
    <t>Litres</t>
  </si>
  <si>
    <t>Total fuel requirement</t>
  </si>
  <si>
    <t>Fuel cost per litre</t>
  </si>
  <si>
    <t>Total fuel cost at 100% capacity utilization</t>
  </si>
  <si>
    <t>1. Civil Work</t>
  </si>
  <si>
    <t>Total Civil Work</t>
  </si>
  <si>
    <t>Per annum capacity in kgs</t>
  </si>
  <si>
    <t>Estimated ocupational capacity</t>
  </si>
  <si>
    <t>Less: Pre incorporation expense</t>
  </si>
  <si>
    <t>Electricity fixed charge</t>
  </si>
  <si>
    <t>BEP in kgs</t>
  </si>
  <si>
    <t>Less: Fixed costs</t>
  </si>
  <si>
    <t>Rs. per kg</t>
  </si>
  <si>
    <t>Service Centre Infrastructure</t>
  </si>
  <si>
    <t>3. Miscellanoeus Fixed Asset</t>
  </si>
  <si>
    <t>Civil work for building</t>
  </si>
  <si>
    <t>Accountant cum cashier</t>
  </si>
  <si>
    <t>Labour</t>
  </si>
  <si>
    <t>Insurance cost @ 2% of purchase cost</t>
  </si>
  <si>
    <t>It is assumed that insuarance cost is 2% of purchase price and this will increase 5% annually</t>
  </si>
  <si>
    <t>Add: Opening Stock</t>
  </si>
  <si>
    <t>Less: Closing Stock</t>
  </si>
  <si>
    <t>Operational days</t>
  </si>
  <si>
    <t>purchase price per kg</t>
  </si>
  <si>
    <t>sales prices per kg</t>
  </si>
  <si>
    <t>Production Budget</t>
  </si>
  <si>
    <t>Estimation of Production capacity</t>
  </si>
  <si>
    <t>Opening Stock</t>
  </si>
  <si>
    <t>Production</t>
  </si>
  <si>
    <t>Closing Stock</t>
  </si>
  <si>
    <t>Distribution of profits (80%)</t>
  </si>
  <si>
    <t>Less: Land purchase</t>
  </si>
  <si>
    <t>Closing stock</t>
  </si>
  <si>
    <t>1. asssumed that 90 days of purchases are average creditors maintained</t>
  </si>
  <si>
    <t>Asssumed that 90 days of purchases are average creditors maintained</t>
  </si>
  <si>
    <t>Own produce (kgs)</t>
  </si>
  <si>
    <t>Revenue from sale of own produce</t>
  </si>
  <si>
    <t>Total revenue</t>
  </si>
  <si>
    <t>Production capacity (kgs)</t>
  </si>
  <si>
    <t>Total Financial expense</t>
  </si>
  <si>
    <t>Variable costs</t>
  </si>
  <si>
    <t>Electricity cost</t>
  </si>
  <si>
    <t>Interest on working capital</t>
  </si>
  <si>
    <t>Contribution per unit</t>
  </si>
  <si>
    <t>2. assumed that 60 days of sales are average debtors maintained by the business</t>
  </si>
  <si>
    <t>Assumed that 60 days of sales are average debtors maintained by the business</t>
  </si>
  <si>
    <t>2. Electricity usage in units is given below</t>
  </si>
  <si>
    <t>3. It is assumed that insuarance cost is 2% of purchase price and this will increase 5% annually</t>
  </si>
  <si>
    <t>Processing charges for grain</t>
  </si>
  <si>
    <t>Input wheat grain cost</t>
  </si>
  <si>
    <t>Consumer produce (kgs)</t>
  </si>
  <si>
    <t>Revenue from processing consumer  produce</t>
  </si>
  <si>
    <t>300 days</t>
  </si>
  <si>
    <t>It is assumed that 2/3rd capacity of flour mill is used to process own produce, i.e., to process wheat grains into flour which is further sold by mill in the market. The balance 1/3rd capacity is used to process the the consumer produce, for processing the wheat grain brought by the consumer for processing.</t>
  </si>
  <si>
    <t>In case of processing own produce, wheat grains is procured from farmers and processed for selling. While for government produce, wheat grains are provided to mill for further processing and only processing charges are taken for such work.</t>
  </si>
  <si>
    <t>4. Closing stock is valued at Rs 20 (avg cost)</t>
  </si>
  <si>
    <t>Sales price per kg is Rs. 22 (considering single type of output flour) which will increase 10% annually</t>
  </si>
  <si>
    <t>Land</t>
  </si>
  <si>
    <t>Total Project cost</t>
  </si>
  <si>
    <t>Annexure 14 - Cash flow statement</t>
  </si>
  <si>
    <t>Ann 14'!A1</t>
  </si>
  <si>
    <t xml:space="preserve">Vibrio separator </t>
  </si>
  <si>
    <t>Vibrio destoner</t>
  </si>
  <si>
    <t>Gravity separator</t>
  </si>
  <si>
    <t>Bucket and belt elevators</t>
  </si>
  <si>
    <t>Pneumatic system</t>
  </si>
  <si>
    <t>Flour mills</t>
  </si>
  <si>
    <t>Storage tanks of capacity upto 20 tons</t>
  </si>
  <si>
    <t>Atta storage silo</t>
  </si>
  <si>
    <t>Form fill and seal machine</t>
  </si>
  <si>
    <t>iv.</t>
  </si>
  <si>
    <t>Security</t>
  </si>
  <si>
    <t>Add: benefits @ 20%</t>
  </si>
  <si>
    <t>Insurance</t>
  </si>
  <si>
    <t>1. Electricity are semi-fixed cost. Rs. 250,000 pa is fixed, balance is variable at Rs. 14 per unit usage</t>
  </si>
  <si>
    <t>Electricity are semi-fixed cost. Rs. 250,000 pa is fixed, balance is variable at Rs. 14 per unit usage</t>
  </si>
  <si>
    <t>Running and Manintenance expense @20% of sales</t>
  </si>
  <si>
    <t>Production is 4 ton per hour</t>
  </si>
  <si>
    <t>Packing expense @ Rs. 0.3 per kg</t>
  </si>
  <si>
    <t>5. It is assumed that 10% of input gets wasted in production and 5% increase in selling price</t>
  </si>
  <si>
    <t>Mechanic cum operator</t>
  </si>
  <si>
    <t>v.</t>
  </si>
  <si>
    <t>Manager</t>
  </si>
  <si>
    <t>Office expense - fixed cost</t>
  </si>
  <si>
    <t>Fixed office charges</t>
  </si>
  <si>
    <t>selling expense @ Re. 1.5 per kg</t>
  </si>
  <si>
    <t>For the first year of operation the break-even capacity comes at 48.95% capacity, it is because of the fact that in the Initial year the fixed expense of consultancy for project is taken in to consideration for calculation of BEP. considering our operational capacity in year 1 to be 60% which is more than the BEP, hence we can conclude that the project is sound enough to cover its fixed expense.</t>
  </si>
  <si>
    <t>Amount of subsidy (in lakhs)</t>
  </si>
  <si>
    <t>Subsidy is available maximum 35%</t>
  </si>
  <si>
    <t>Repaid via subsidy</t>
  </si>
  <si>
    <t>In case of Capital subsidy, the amount vary depending on location of unit and scheme offered by the government at that time. Thus it is assumed here that 35% of cost of project(Rs. 61.25 lakhs)is sourced through back end subsidy.</t>
  </si>
  <si>
    <t>The amount Rs. 61.25 lakhs is sourced by Government subsidy. Since this is a back end subsidy, the amount is funded to bank at the end of repayment schedule.</t>
  </si>
  <si>
    <t>DPR with subsidy</t>
  </si>
  <si>
    <t>Other income - Subsidy for repayment of loan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</si>
</sst>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_(* \(#,##0.00\);_(* &quot;-&quot;??_);_(@_)"/>
    <numFmt numFmtId="164" formatCode="_(* #,##0_);_(* \(#,##0\);_(* &quot;-&quot;??_);_(@_)"/>
    <numFmt numFmtId="165" formatCode="_(* #,##0.0_);_(* \(#,##0.0\);_(* &quot;-&quot;?_);_(@_)"/>
    <numFmt numFmtId="166" formatCode="_(* #,##0.000000000_);_(* \(#,##0.000000000\);_(* &quot;-&quot;??_);_(@_)"/>
    <numFmt numFmtId="167" formatCode="0.000"/>
    <numFmt numFmtId="168" formatCode="_(* #,##0.000_);_(* \(#,##0.000\);_(* &quot;-&quot;??_);_(@_)"/>
  </numFmts>
  <fonts count="12">
    <font>
      <sz val="11"/>
      <color theme="1"/>
      <name val="Calibri"/>
      <family val="2"/>
      <scheme val="minor"/>
    </font>
    <font>
      <sz val="11"/>
      <color theme="1"/>
      <name val="Calibri"/>
      <family val="2"/>
      <scheme val="minor"/>
    </font>
    <font>
      <b/>
      <sz val="11"/>
      <color theme="1"/>
      <name val="Calibri"/>
      <family val="2"/>
      <scheme val="minor"/>
    </font>
    <font>
      <u/>
      <sz val="11"/>
      <color theme="1"/>
      <name val="Calibri"/>
      <family val="2"/>
      <scheme val="minor"/>
    </font>
    <font>
      <u/>
      <sz val="11"/>
      <color theme="10"/>
      <name val="Calibri"/>
      <family val="2"/>
      <scheme val="minor"/>
    </font>
    <font>
      <b/>
      <sz val="11"/>
      <color theme="1"/>
      <name val="Adobe Devanagari"/>
      <family val="1"/>
    </font>
    <font>
      <sz val="11"/>
      <color theme="1"/>
      <name val="Adobe Devanagari"/>
      <family val="1"/>
    </font>
    <font>
      <u/>
      <sz val="11"/>
      <color theme="10"/>
      <name val="Adobe Devanagari"/>
      <family val="1"/>
    </font>
    <font>
      <u/>
      <sz val="11"/>
      <color theme="1"/>
      <name val="Adobe Devanagari"/>
      <family val="1"/>
    </font>
    <font>
      <sz val="11"/>
      <name val="Adobe Devanagari"/>
      <family val="1"/>
    </font>
    <font>
      <sz val="11"/>
      <color theme="0"/>
      <name val="Adobe Devanagari"/>
      <family val="1"/>
    </font>
    <font>
      <b/>
      <sz val="11"/>
      <color theme="0"/>
      <name val="Adobe Devanagari"/>
      <family val="1"/>
    </font>
  </fonts>
  <fills count="5">
    <fill>
      <patternFill patternType="none"/>
    </fill>
    <fill>
      <patternFill patternType="gray125"/>
    </fill>
    <fill>
      <patternFill patternType="solid">
        <fgColor rgb="FFFFFF00"/>
        <bgColor indexed="64"/>
      </patternFill>
    </fill>
    <fill>
      <patternFill patternType="solid">
        <fgColor theme="9"/>
        <bgColor indexed="64"/>
      </patternFill>
    </fill>
    <fill>
      <patternFill patternType="solid">
        <fgColor rgb="FF7030A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0" fontId="4" fillId="0" borderId="0" applyNumberFormat="0" applyFill="0" applyBorder="0" applyAlignment="0" applyProtection="0"/>
  </cellStyleXfs>
  <cellXfs count="139">
    <xf numFmtId="0" fontId="0" fillId="0" borderId="0" xfId="0"/>
    <xf numFmtId="0" fontId="3" fillId="0" borderId="0" xfId="0" applyFont="1"/>
    <xf numFmtId="0" fontId="2" fillId="0" borderId="0" xfId="0" applyFont="1"/>
    <xf numFmtId="0" fontId="0" fillId="0" borderId="0" xfId="0" quotePrefix="1"/>
    <xf numFmtId="43" fontId="0" fillId="0" borderId="0" xfId="1" applyFont="1"/>
    <xf numFmtId="0" fontId="5" fillId="0" borderId="0" xfId="0" applyFont="1"/>
    <xf numFmtId="0" fontId="6" fillId="0" borderId="0" xfId="0" applyFont="1"/>
    <xf numFmtId="0" fontId="6" fillId="0" borderId="1" xfId="0" applyFont="1" applyBorder="1"/>
    <xf numFmtId="0" fontId="7" fillId="0" borderId="1" xfId="3" quotePrefix="1" applyFont="1" applyBorder="1"/>
    <xf numFmtId="0" fontId="7" fillId="0" borderId="1" xfId="3" applyFont="1" applyBorder="1"/>
    <xf numFmtId="0" fontId="5" fillId="3" borderId="1" xfId="0" applyFont="1" applyFill="1" applyBorder="1"/>
    <xf numFmtId="0" fontId="6" fillId="0" borderId="11" xfId="0" applyFont="1" applyBorder="1" applyAlignment="1">
      <alignment horizontal="left"/>
    </xf>
    <xf numFmtId="0" fontId="6" fillId="0" borderId="11" xfId="0" applyFont="1" applyBorder="1"/>
    <xf numFmtId="0" fontId="6" fillId="0" borderId="9" xfId="0" applyFont="1" applyBorder="1"/>
    <xf numFmtId="43" fontId="6" fillId="0" borderId="9" xfId="1" applyFont="1" applyBorder="1"/>
    <xf numFmtId="43" fontId="6" fillId="0" borderId="9" xfId="1" applyNumberFormat="1" applyFont="1" applyBorder="1"/>
    <xf numFmtId="43" fontId="6" fillId="0" borderId="9" xfId="0" applyNumberFormat="1" applyFont="1" applyBorder="1"/>
    <xf numFmtId="0" fontId="6" fillId="0" borderId="11" xfId="0" applyFont="1" applyBorder="1" applyAlignment="1">
      <alignment wrapText="1"/>
    </xf>
    <xf numFmtId="168" fontId="6" fillId="0" borderId="9" xfId="1" applyNumberFormat="1" applyFont="1" applyBorder="1"/>
    <xf numFmtId="43" fontId="6" fillId="0" borderId="0" xfId="0" applyNumberFormat="1" applyFont="1"/>
    <xf numFmtId="0" fontId="5" fillId="0" borderId="12" xfId="0" applyFont="1" applyBorder="1" applyAlignment="1">
      <alignment horizontal="left"/>
    </xf>
    <xf numFmtId="0" fontId="5" fillId="0" borderId="12" xfId="0" applyFont="1" applyBorder="1"/>
    <xf numFmtId="43" fontId="5" fillId="0" borderId="10" xfId="0" applyNumberFormat="1" applyFont="1" applyBorder="1"/>
    <xf numFmtId="0" fontId="6" fillId="0" borderId="0" xfId="0" applyFont="1" applyAlignment="1">
      <alignment horizontal="left"/>
    </xf>
    <xf numFmtId="0" fontId="8" fillId="3" borderId="2" xfId="0" applyFont="1" applyFill="1" applyBorder="1"/>
    <xf numFmtId="0" fontId="6" fillId="3" borderId="3" xfId="0" applyFont="1" applyFill="1" applyBorder="1"/>
    <xf numFmtId="0" fontId="6" fillId="3" borderId="4" xfId="0" applyFont="1" applyFill="1" applyBorder="1"/>
    <xf numFmtId="0" fontId="6" fillId="3" borderId="1" xfId="0" applyFont="1" applyFill="1" applyBorder="1"/>
    <xf numFmtId="0" fontId="6" fillId="3" borderId="1" xfId="0" applyFont="1" applyFill="1" applyBorder="1" applyAlignment="1">
      <alignment wrapText="1"/>
    </xf>
    <xf numFmtId="0" fontId="6" fillId="0" borderId="8" xfId="0" applyFont="1" applyBorder="1"/>
    <xf numFmtId="0" fontId="6" fillId="0" borderId="0" xfId="0" applyFont="1" applyBorder="1"/>
    <xf numFmtId="10" fontId="6" fillId="0" borderId="0" xfId="2" applyNumberFormat="1" applyFont="1"/>
    <xf numFmtId="2" fontId="6" fillId="0" borderId="0" xfId="0" applyNumberFormat="1" applyFont="1"/>
    <xf numFmtId="0" fontId="6" fillId="0" borderId="2" xfId="0" applyFont="1" applyBorder="1"/>
    <xf numFmtId="0" fontId="6" fillId="0" borderId="3" xfId="0" applyFont="1" applyBorder="1"/>
    <xf numFmtId="43" fontId="6" fillId="0" borderId="4" xfId="0" applyNumberFormat="1" applyFont="1" applyBorder="1"/>
    <xf numFmtId="0" fontId="6" fillId="3" borderId="2" xfId="0" applyFont="1" applyFill="1" applyBorder="1"/>
    <xf numFmtId="0" fontId="6" fillId="0" borderId="5" xfId="0" applyFont="1" applyBorder="1"/>
    <xf numFmtId="0" fontId="6" fillId="0" borderId="6" xfId="0" applyFont="1" applyBorder="1" applyAlignment="1">
      <alignment horizontal="left" wrapText="1"/>
    </xf>
    <xf numFmtId="0" fontId="6" fillId="0" borderId="6" xfId="0" applyFont="1" applyBorder="1" applyAlignment="1">
      <alignment horizontal="left"/>
    </xf>
    <xf numFmtId="164" fontId="6" fillId="0" borderId="6" xfId="1" applyNumberFormat="1" applyFont="1" applyBorder="1"/>
    <xf numFmtId="164" fontId="6" fillId="0" borderId="7" xfId="1" applyNumberFormat="1" applyFont="1" applyBorder="1" applyAlignment="1">
      <alignment horizontal="left"/>
    </xf>
    <xf numFmtId="0" fontId="5" fillId="0" borderId="13" xfId="0" applyFont="1" applyBorder="1"/>
    <xf numFmtId="0" fontId="5" fillId="0" borderId="14" xfId="0" applyFont="1" applyBorder="1"/>
    <xf numFmtId="164" fontId="5" fillId="0" borderId="10" xfId="0" applyNumberFormat="1" applyFont="1" applyBorder="1"/>
    <xf numFmtId="0" fontId="6" fillId="0" borderId="4" xfId="0" applyFont="1" applyBorder="1"/>
    <xf numFmtId="0" fontId="6" fillId="0" borderId="0" xfId="0" applyFont="1" applyBorder="1" applyAlignment="1">
      <alignment horizontal="left"/>
    </xf>
    <xf numFmtId="164" fontId="6" fillId="0" borderId="0" xfId="1" applyNumberFormat="1" applyFont="1" applyBorder="1"/>
    <xf numFmtId="0" fontId="5" fillId="0" borderId="2" xfId="0" applyFont="1" applyBorder="1"/>
    <xf numFmtId="0" fontId="5" fillId="0" borderId="3" xfId="0" applyFont="1" applyBorder="1"/>
    <xf numFmtId="164" fontId="5" fillId="0" borderId="4" xfId="0" applyNumberFormat="1" applyFont="1" applyBorder="1"/>
    <xf numFmtId="0" fontId="5" fillId="0" borderId="0" xfId="0" applyFont="1" applyFill="1"/>
    <xf numFmtId="164" fontId="6" fillId="0" borderId="0" xfId="0" applyNumberFormat="1" applyFont="1"/>
    <xf numFmtId="164" fontId="6" fillId="3" borderId="4" xfId="1" applyNumberFormat="1" applyFont="1" applyFill="1" applyBorder="1"/>
    <xf numFmtId="0" fontId="5" fillId="0" borderId="6" xfId="0" applyFont="1" applyBorder="1"/>
    <xf numFmtId="0" fontId="6" fillId="0" borderId="15" xfId="0" applyFont="1" applyBorder="1"/>
    <xf numFmtId="0" fontId="6" fillId="0" borderId="7" xfId="0" applyFont="1" applyBorder="1"/>
    <xf numFmtId="164" fontId="6" fillId="0" borderId="11" xfId="0" applyNumberFormat="1" applyFont="1" applyBorder="1"/>
    <xf numFmtId="43" fontId="6" fillId="0" borderId="11" xfId="0" applyNumberFormat="1" applyFont="1" applyBorder="1"/>
    <xf numFmtId="0" fontId="6" fillId="0" borderId="0" xfId="0" applyFont="1" applyFill="1" applyBorder="1"/>
    <xf numFmtId="164" fontId="6" fillId="0" borderId="11" xfId="1" applyNumberFormat="1" applyFont="1" applyBorder="1"/>
    <xf numFmtId="164" fontId="6" fillId="0" borderId="9" xfId="0" applyNumberFormat="1" applyFont="1" applyBorder="1"/>
    <xf numFmtId="0" fontId="5" fillId="0" borderId="0" xfId="0" applyFont="1" applyBorder="1"/>
    <xf numFmtId="164" fontId="6" fillId="0" borderId="9" xfId="1" applyNumberFormat="1" applyFont="1" applyBorder="1"/>
    <xf numFmtId="164" fontId="6" fillId="0" borderId="8" xfId="0" applyNumberFormat="1" applyFont="1" applyFill="1" applyBorder="1"/>
    <xf numFmtId="0" fontId="6" fillId="0" borderId="13" xfId="0" applyFont="1" applyBorder="1"/>
    <xf numFmtId="0" fontId="6" fillId="0" borderId="14" xfId="0" applyFont="1" applyBorder="1"/>
    <xf numFmtId="0" fontId="6" fillId="0" borderId="12" xfId="0" applyFont="1" applyBorder="1"/>
    <xf numFmtId="0" fontId="6" fillId="0" borderId="10" xfId="0" applyFont="1" applyBorder="1"/>
    <xf numFmtId="43" fontId="6" fillId="0" borderId="10" xfId="1" applyFont="1" applyBorder="1"/>
    <xf numFmtId="0" fontId="8" fillId="0" borderId="0" xfId="0" applyFont="1"/>
    <xf numFmtId="0" fontId="6" fillId="0" borderId="1" xfId="0" applyFont="1" applyFill="1" applyBorder="1"/>
    <xf numFmtId="164" fontId="6" fillId="0" borderId="1" xfId="1" applyNumberFormat="1" applyFont="1" applyBorder="1"/>
    <xf numFmtId="164" fontId="6" fillId="0" borderId="1" xfId="0" applyNumberFormat="1" applyFont="1" applyBorder="1"/>
    <xf numFmtId="0" fontId="6" fillId="0" borderId="6" xfId="0" applyFont="1" applyBorder="1"/>
    <xf numFmtId="164" fontId="6" fillId="0" borderId="10" xfId="0" applyNumberFormat="1" applyFont="1" applyBorder="1"/>
    <xf numFmtId="164" fontId="6" fillId="0" borderId="4" xfId="0" applyNumberFormat="1" applyFont="1" applyBorder="1"/>
    <xf numFmtId="9" fontId="6" fillId="0" borderId="0" xfId="0" applyNumberFormat="1" applyFont="1"/>
    <xf numFmtId="2" fontId="6" fillId="0" borderId="1" xfId="0" applyNumberFormat="1" applyFont="1" applyBorder="1"/>
    <xf numFmtId="2" fontId="6" fillId="0" borderId="1" xfId="1" applyNumberFormat="1" applyFont="1" applyBorder="1"/>
    <xf numFmtId="0" fontId="6" fillId="0" borderId="1" xfId="0" applyFont="1" applyBorder="1" applyAlignment="1">
      <alignment horizontal="right"/>
    </xf>
    <xf numFmtId="0" fontId="6" fillId="0" borderId="1" xfId="0" applyFont="1" applyBorder="1" applyAlignment="1">
      <alignment horizontal="left"/>
    </xf>
    <xf numFmtId="43" fontId="6" fillId="0" borderId="1" xfId="0" applyNumberFormat="1" applyFont="1" applyBorder="1"/>
    <xf numFmtId="0" fontId="6" fillId="0" borderId="0" xfId="0" applyFont="1" applyAlignment="1">
      <alignment horizontal="right"/>
    </xf>
    <xf numFmtId="43" fontId="6" fillId="0" borderId="1" xfId="1" applyFont="1" applyBorder="1"/>
    <xf numFmtId="0" fontId="8" fillId="3" borderId="0" xfId="0" applyFont="1" applyFill="1"/>
    <xf numFmtId="0" fontId="6" fillId="3" borderId="0" xfId="0" applyFont="1" applyFill="1"/>
    <xf numFmtId="164" fontId="6" fillId="0" borderId="0" xfId="1" applyNumberFormat="1" applyFont="1"/>
    <xf numFmtId="0" fontId="6" fillId="0" borderId="0" xfId="0" quotePrefix="1" applyFont="1"/>
    <xf numFmtId="10" fontId="6" fillId="0" borderId="1" xfId="2" applyNumberFormat="1" applyFont="1" applyBorder="1"/>
    <xf numFmtId="167" fontId="6" fillId="0" borderId="0" xfId="0" applyNumberFormat="1" applyFont="1"/>
    <xf numFmtId="10" fontId="6" fillId="2" borderId="0" xfId="0" applyNumberFormat="1" applyFont="1" applyFill="1"/>
    <xf numFmtId="0" fontId="6" fillId="2" borderId="0" xfId="0" applyFont="1" applyFill="1" applyAlignment="1">
      <alignment horizontal="right"/>
    </xf>
    <xf numFmtId="0" fontId="9" fillId="0" borderId="0" xfId="0" applyFont="1"/>
    <xf numFmtId="0" fontId="6" fillId="3" borderId="1" xfId="0" applyFont="1" applyFill="1" applyBorder="1" applyAlignment="1">
      <alignment horizontal="center"/>
    </xf>
    <xf numFmtId="9" fontId="6" fillId="0" borderId="1" xfId="0" applyNumberFormat="1" applyFont="1" applyBorder="1" applyAlignment="1">
      <alignment horizontal="center"/>
    </xf>
    <xf numFmtId="164" fontId="6" fillId="0" borderId="1" xfId="1" applyNumberFormat="1" applyFont="1" applyBorder="1" applyAlignment="1">
      <alignment horizontal="right"/>
    </xf>
    <xf numFmtId="0" fontId="6" fillId="0" borderId="0" xfId="0" applyFont="1" applyFill="1"/>
    <xf numFmtId="16" fontId="6" fillId="0" borderId="0" xfId="0" applyNumberFormat="1" applyFont="1"/>
    <xf numFmtId="164" fontId="6" fillId="0" borderId="0" xfId="1" applyNumberFormat="1" applyFont="1" applyAlignment="1">
      <alignment horizontal="right"/>
    </xf>
    <xf numFmtId="0" fontId="6" fillId="0" borderId="1" xfId="0" applyFont="1" applyBorder="1" applyAlignment="1">
      <alignment vertical="top"/>
    </xf>
    <xf numFmtId="0" fontId="6" fillId="0" borderId="1" xfId="0" applyFont="1" applyBorder="1" applyAlignment="1">
      <alignment vertical="top" wrapText="1"/>
    </xf>
    <xf numFmtId="0" fontId="6" fillId="0" borderId="2" xfId="0" applyFont="1" applyBorder="1" applyAlignment="1">
      <alignment vertical="top" wrapText="1"/>
    </xf>
    <xf numFmtId="0" fontId="6" fillId="0" borderId="1" xfId="0" applyFont="1" applyFill="1" applyBorder="1" applyAlignment="1">
      <alignment vertical="top" wrapText="1"/>
    </xf>
    <xf numFmtId="0" fontId="6" fillId="0" borderId="0" xfId="0" applyFont="1" applyAlignment="1">
      <alignment vertical="top"/>
    </xf>
    <xf numFmtId="164" fontId="6" fillId="0" borderId="1" xfId="0" applyNumberFormat="1" applyFont="1" applyBorder="1" applyAlignment="1">
      <alignment vertical="top"/>
    </xf>
    <xf numFmtId="165" fontId="6" fillId="0" borderId="2" xfId="0" applyNumberFormat="1" applyFont="1" applyBorder="1" applyAlignment="1">
      <alignment vertical="top" wrapText="1"/>
    </xf>
    <xf numFmtId="165" fontId="6" fillId="0" borderId="1" xfId="0" applyNumberFormat="1" applyFont="1" applyBorder="1" applyAlignment="1">
      <alignment vertical="top" wrapText="1"/>
    </xf>
    <xf numFmtId="0" fontId="6" fillId="0" borderId="1" xfId="0" applyFont="1" applyFill="1" applyBorder="1" applyAlignment="1">
      <alignment vertical="top"/>
    </xf>
    <xf numFmtId="0" fontId="6" fillId="0" borderId="1" xfId="0" applyFont="1" applyBorder="1" applyAlignment="1">
      <alignment horizontal="center"/>
    </xf>
    <xf numFmtId="164" fontId="10" fillId="0" borderId="0" xfId="1" applyNumberFormat="1" applyFont="1"/>
    <xf numFmtId="10" fontId="10" fillId="0" borderId="0" xfId="1" applyNumberFormat="1" applyFont="1"/>
    <xf numFmtId="0" fontId="10" fillId="0" borderId="0" xfId="0" applyFont="1"/>
    <xf numFmtId="166" fontId="10" fillId="0" borderId="0" xfId="1" applyNumberFormat="1" applyFont="1"/>
    <xf numFmtId="0" fontId="6" fillId="3" borderId="6" xfId="0" applyFont="1" applyFill="1" applyBorder="1"/>
    <xf numFmtId="0" fontId="5" fillId="0" borderId="1" xfId="0" applyFont="1" applyBorder="1"/>
    <xf numFmtId="9" fontId="5" fillId="0" borderId="1" xfId="0" applyNumberFormat="1" applyFont="1" applyBorder="1"/>
    <xf numFmtId="0" fontId="5" fillId="3" borderId="8" xfId="0" applyFont="1" applyFill="1" applyBorder="1"/>
    <xf numFmtId="0" fontId="5" fillId="3" borderId="0" xfId="0" applyFont="1" applyFill="1" applyBorder="1"/>
    <xf numFmtId="0" fontId="5" fillId="3" borderId="11" xfId="0" applyFont="1" applyFill="1" applyBorder="1"/>
    <xf numFmtId="0" fontId="5" fillId="3" borderId="9" xfId="0" applyFont="1" applyFill="1" applyBorder="1"/>
    <xf numFmtId="164" fontId="5" fillId="3" borderId="9" xfId="0" applyNumberFormat="1" applyFont="1" applyFill="1" applyBorder="1"/>
    <xf numFmtId="0" fontId="5" fillId="3" borderId="1" xfId="0" applyFont="1" applyFill="1" applyBorder="1" applyAlignment="1">
      <alignment horizontal="center"/>
    </xf>
    <xf numFmtId="0" fontId="6" fillId="0" borderId="0" xfId="0" applyFont="1" applyBorder="1" applyAlignment="1">
      <alignment vertical="center" wrapText="1"/>
    </xf>
    <xf numFmtId="164" fontId="5" fillId="0" borderId="0" xfId="0" applyNumberFormat="1" applyFont="1"/>
    <xf numFmtId="164" fontId="6" fillId="0" borderId="7" xfId="1" applyNumberFormat="1" applyFont="1" applyBorder="1" applyAlignment="1">
      <alignment horizontal="center"/>
    </xf>
    <xf numFmtId="164" fontId="6" fillId="0" borderId="9" xfId="1" applyNumberFormat="1" applyFont="1" applyBorder="1" applyAlignment="1">
      <alignment horizontal="center"/>
    </xf>
    <xf numFmtId="0" fontId="5" fillId="3" borderId="3" xfId="0" applyFont="1" applyFill="1" applyBorder="1" applyAlignment="1">
      <alignment horizontal="center"/>
    </xf>
    <xf numFmtId="0" fontId="5" fillId="3" borderId="1" xfId="0" applyFont="1" applyFill="1" applyBorder="1" applyAlignment="1">
      <alignment horizontal="center" vertical="center"/>
    </xf>
    <xf numFmtId="0" fontId="5" fillId="3" borderId="7" xfId="0" applyFont="1" applyFill="1" applyBorder="1" applyAlignment="1">
      <alignment horizontal="center" vertical="center"/>
    </xf>
    <xf numFmtId="0" fontId="5" fillId="3" borderId="10" xfId="0" applyFont="1" applyFill="1" applyBorder="1" applyAlignment="1">
      <alignment horizontal="center" vertical="center"/>
    </xf>
    <xf numFmtId="0" fontId="6" fillId="3" borderId="1" xfId="0" applyFont="1" applyFill="1" applyBorder="1" applyAlignment="1">
      <alignment horizontal="center"/>
    </xf>
    <xf numFmtId="0" fontId="6" fillId="0" borderId="1" xfId="0" applyFont="1" applyBorder="1" applyAlignment="1">
      <alignment horizontal="left"/>
    </xf>
    <xf numFmtId="0" fontId="6" fillId="0" borderId="0" xfId="0" applyFont="1" applyAlignment="1">
      <alignment horizontal="left" wrapText="1"/>
    </xf>
    <xf numFmtId="0" fontId="0" fillId="0" borderId="0" xfId="0" applyAlignment="1">
      <alignment horizontal="center"/>
    </xf>
    <xf numFmtId="0" fontId="6" fillId="0" borderId="1" xfId="0" applyFont="1" applyBorder="1" applyAlignment="1">
      <alignment horizontal="center" vertical="center"/>
    </xf>
    <xf numFmtId="0" fontId="5" fillId="3" borderId="1" xfId="0" applyFont="1" applyFill="1" applyBorder="1" applyAlignment="1">
      <alignment horizontal="center"/>
    </xf>
    <xf numFmtId="0" fontId="6" fillId="0" borderId="0" xfId="0" applyFont="1" applyAlignment="1">
      <alignment horizontal="center"/>
    </xf>
    <xf numFmtId="0" fontId="11" fillId="4" borderId="1" xfId="0" applyFont="1" applyFill="1" applyBorder="1"/>
  </cellXfs>
  <cellStyles count="4">
    <cellStyle name="Comma" xfId="1" builtinId="3"/>
    <cellStyle name="Hyperlink" xfId="3" builtinId="8"/>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1.%20Assignments\6.%20Ashiwini%20Mittal%20uncle's%20bid%20for%20work\1.%20F&amp;V%20Processing%20unit\F&amp;V%20Processing%20Unit%20Annexures%20-%20With%20Subsidy.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Ann 1"/>
      <sheetName val="Ann 2"/>
      <sheetName val="Ann 3"/>
      <sheetName val="Ann 4"/>
      <sheetName val="Ann 5"/>
      <sheetName val="Ann 6"/>
      <sheetName val="Ann 7"/>
      <sheetName val="Ann 8"/>
      <sheetName val="Ann 9"/>
      <sheetName val="Ann 10"/>
      <sheetName val="Ann 11"/>
      <sheetName val="Ann 12"/>
      <sheetName val="Ann 13"/>
      <sheetName val="Budgets"/>
      <sheetName val="Assumptions"/>
      <sheetName val="For word file"/>
      <sheetName val="Sheet1"/>
    </sheetNames>
    <sheetDataSet>
      <sheetData sheetId="0"/>
      <sheetData sheetId="1">
        <row r="3">
          <cell r="A3" t="str">
            <v>Annexure 1 - Estimated cost of the project</v>
          </cell>
        </row>
      </sheetData>
      <sheetData sheetId="2">
        <row r="1">
          <cell r="A1" t="str">
            <v>Annexure 2 - Means of Finance</v>
          </cell>
        </row>
      </sheetData>
      <sheetData sheetId="3"/>
      <sheetData sheetId="4">
        <row r="1">
          <cell r="A1" t="str">
            <v>Annexure 4 - Estimated Cost of Production</v>
          </cell>
        </row>
      </sheetData>
      <sheetData sheetId="5">
        <row r="1">
          <cell r="A1" t="str">
            <v>Annexure 5- Projected balance sheet</v>
          </cell>
        </row>
      </sheetData>
      <sheetData sheetId="6"/>
      <sheetData sheetId="7"/>
      <sheetData sheetId="8"/>
      <sheetData sheetId="9"/>
      <sheetData sheetId="10"/>
      <sheetData sheetId="11">
        <row r="1">
          <cell r="A1" t="str">
            <v>Annexure 11- Break even analysis (At maximum capacity utilization)</v>
          </cell>
        </row>
      </sheetData>
      <sheetData sheetId="12"/>
      <sheetData sheetId="13"/>
      <sheetData sheetId="14">
        <row r="1">
          <cell r="A1" t="str">
            <v>Sales Budget</v>
          </cell>
        </row>
      </sheetData>
      <sheetData sheetId="15">
        <row r="1">
          <cell r="B1" t="str">
            <v>Assumptions</v>
          </cell>
        </row>
      </sheetData>
      <sheetData sheetId="16"/>
      <sheetData sheetId="17"/>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AAC8BE-60EA-43EA-96F6-72E97A57CA2D}">
  <dimension ref="A1:B16"/>
  <sheetViews>
    <sheetView workbookViewId="0">
      <selection activeCell="F4" sqref="F4"/>
    </sheetView>
  </sheetViews>
  <sheetFormatPr defaultRowHeight="14"/>
  <cols>
    <col min="1" max="1" width="57.90625" style="6" bestFit="1" customWidth="1"/>
    <col min="2" max="2" width="14.453125" style="6" bestFit="1" customWidth="1"/>
    <col min="3" max="16384" width="8.7265625" style="6"/>
  </cols>
  <sheetData>
    <row r="1" spans="1:2">
      <c r="A1" s="5" t="s">
        <v>200</v>
      </c>
    </row>
    <row r="3" spans="1:2">
      <c r="A3" s="138" t="s">
        <v>201</v>
      </c>
      <c r="B3" s="138" t="s">
        <v>202</v>
      </c>
    </row>
    <row r="4" spans="1:2">
      <c r="A4" s="7" t="str">
        <f>'[1]Ann 1'!A3</f>
        <v>Annexure 1 - Estimated cost of the project</v>
      </c>
      <c r="B4" s="8" t="s">
        <v>203</v>
      </c>
    </row>
    <row r="5" spans="1:2">
      <c r="A5" s="7" t="str">
        <f>'[1]Ann 2'!A1</f>
        <v>Annexure 2 - Means of Finance</v>
      </c>
      <c r="B5" s="8" t="s">
        <v>204</v>
      </c>
    </row>
    <row r="6" spans="1:2">
      <c r="A6" s="7" t="str">
        <f>'Ann 3'!A1</f>
        <v>Annexure 3 - Complete Estimate of Civil and Plant and Machinery</v>
      </c>
      <c r="B6" s="8" t="s">
        <v>218</v>
      </c>
    </row>
    <row r="7" spans="1:2">
      <c r="A7" s="7" t="str">
        <f>'[1]Ann 4'!A1</f>
        <v>Annexure 4 - Estimated Cost of Production</v>
      </c>
      <c r="B7" s="8" t="s">
        <v>205</v>
      </c>
    </row>
    <row r="8" spans="1:2">
      <c r="A8" s="7" t="str">
        <f>'[1]Ann 5'!A1</f>
        <v>Annexure 5- Projected balance sheet</v>
      </c>
      <c r="B8" s="8" t="s">
        <v>206</v>
      </c>
    </row>
    <row r="9" spans="1:2">
      <c r="A9" s="7" t="str">
        <f>'Ann 8'!A1</f>
        <v>Annexure 8 - Details of Mnpower</v>
      </c>
      <c r="B9" s="8" t="s">
        <v>207</v>
      </c>
    </row>
    <row r="10" spans="1:2">
      <c r="A10" s="7" t="str">
        <f>'Ann 9'!A1</f>
        <v>Annexure 9 - Computation of Depreciation</v>
      </c>
      <c r="B10" s="8" t="s">
        <v>208</v>
      </c>
    </row>
    <row r="11" spans="1:2">
      <c r="A11" s="7" t="str">
        <f>'Ann 10'!A1</f>
        <v>Annexure 10 - Calculation of Income tax</v>
      </c>
      <c r="B11" s="8" t="s">
        <v>209</v>
      </c>
    </row>
    <row r="12" spans="1:2">
      <c r="A12" s="7" t="str">
        <f>'[1]Ann 11'!A1</f>
        <v>Annexure 11- Break even analysis (At maximum capacity utilization)</v>
      </c>
      <c r="B12" s="8" t="s">
        <v>210</v>
      </c>
    </row>
    <row r="13" spans="1:2">
      <c r="A13" s="7" t="str">
        <f>'Ann 13'!A1</f>
        <v>Annexure 13 - Repayment schedule</v>
      </c>
      <c r="B13" s="8" t="s">
        <v>211</v>
      </c>
    </row>
    <row r="14" spans="1:2">
      <c r="A14" s="7" t="str">
        <f>'Ann 14'!A1</f>
        <v>Annexure 14 - Cash flow statement</v>
      </c>
      <c r="B14" s="8" t="s">
        <v>293</v>
      </c>
    </row>
    <row r="15" spans="1:2">
      <c r="A15" s="7" t="str">
        <f>[1]Assumptions!B1</f>
        <v>Assumptions</v>
      </c>
      <c r="B15" s="9" t="s">
        <v>212</v>
      </c>
    </row>
    <row r="16" spans="1:2">
      <c r="A16" s="7" t="str">
        <f>[1]Budgets!A1</f>
        <v>Sales Budget</v>
      </c>
      <c r="B16" s="9" t="s">
        <v>213</v>
      </c>
    </row>
  </sheetData>
  <hyperlinks>
    <hyperlink ref="B4" location="'Ann 1'!A1" display="Ann 1'!A1" xr:uid="{8392AB6D-212E-479A-A76E-720E2C0CDF1A}"/>
    <hyperlink ref="B5" location="'Ann 2'!A1" display="Ann 2'!A1" xr:uid="{B4E13D04-8C42-46A6-BAFD-20DB089CE0CE}"/>
    <hyperlink ref="B7" location="'Ann 4'!A1" display="Ann 4'!A1" xr:uid="{13CD8BC8-123F-4B27-B558-7700BF617505}"/>
    <hyperlink ref="B8" location="'Ann 5'!A1" display="Ann 5'!A1" xr:uid="{48243C34-7BE1-4B2C-9BAF-A4BEE1FA52A7}"/>
    <hyperlink ref="B9" location="'Ann 8'!A1" display="Ann 8'!A1" xr:uid="{4BFF2D8E-3B2F-47B1-821E-2A9D5F3C599D}"/>
    <hyperlink ref="B10" location="'Ann 9'!A1" display="Ann 9'!A1" xr:uid="{E91052E2-C8F3-4E24-802C-38C31EA75505}"/>
    <hyperlink ref="B11" location="'Ann 10'!A1" display="Ann 10'!A1" xr:uid="{6A4B47E0-EA66-439F-8C5A-E0DF1C723C34}"/>
    <hyperlink ref="B12" location="'Ann 11'!A1" display="Ann 11'!A1" xr:uid="{91648EFB-F5F2-42E9-8853-705ACD4F62EF}"/>
    <hyperlink ref="B13" location="'Ann 13'!A1" display="Ann 13'!A1" xr:uid="{D748CAF8-9377-4D17-A5F2-F1A083E6D389}"/>
    <hyperlink ref="B15" location="Assumptions!A1" display="Assumptions!A1" xr:uid="{E978F649-0532-497D-92AA-EF316AAFA8E7}"/>
    <hyperlink ref="B16" location="Budgets!A1" display="Budgets!A1" xr:uid="{4CD23AF4-AE8A-40D8-A5ED-3F33524C9974}"/>
    <hyperlink ref="B6" location="'Ann 3'!A1" display="Ann 3'!A1" xr:uid="{103D0423-931A-4127-89EA-F0D3EE7C4F91}"/>
    <hyperlink ref="B14" location="'Ann 14'!A1" display="'Ann 14'!A1" xr:uid="{89DE0969-0CB0-4FC6-9B48-FD1E5826E943}"/>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13A738-A431-4FFB-9E48-2908CC4F126C}">
  <sheetPr>
    <pageSetUpPr fitToPage="1"/>
  </sheetPr>
  <dimension ref="A1:D44"/>
  <sheetViews>
    <sheetView tabSelected="1" workbookViewId="0">
      <selection activeCell="A2" sqref="A2"/>
    </sheetView>
  </sheetViews>
  <sheetFormatPr defaultRowHeight="14"/>
  <cols>
    <col min="1" max="1" width="8.7265625" style="6"/>
    <col min="2" max="2" width="44.90625" style="6" customWidth="1"/>
    <col min="3" max="3" width="13.26953125" style="6" customWidth="1"/>
    <col min="4" max="16384" width="8.7265625" style="6"/>
  </cols>
  <sheetData>
    <row r="1" spans="1:3">
      <c r="A1" s="5" t="s">
        <v>325</v>
      </c>
    </row>
    <row r="3" spans="1:3">
      <c r="A3" s="5" t="s">
        <v>0</v>
      </c>
    </row>
    <row r="5" spans="1:3">
      <c r="A5" s="24" t="s">
        <v>1</v>
      </c>
      <c r="B5" s="25"/>
      <c r="C5" s="26"/>
    </row>
    <row r="6" spans="1:3" ht="28">
      <c r="A6" s="27" t="s">
        <v>2</v>
      </c>
      <c r="B6" s="27" t="s">
        <v>3</v>
      </c>
      <c r="C6" s="28" t="s">
        <v>4</v>
      </c>
    </row>
    <row r="7" spans="1:3">
      <c r="A7" s="11">
        <v>1</v>
      </c>
      <c r="B7" s="12" t="s">
        <v>6</v>
      </c>
      <c r="C7" s="13"/>
    </row>
    <row r="8" spans="1:3">
      <c r="A8" s="11" t="s">
        <v>5</v>
      </c>
      <c r="B8" s="12" t="s">
        <v>290</v>
      </c>
      <c r="C8" s="14">
        <v>0</v>
      </c>
    </row>
    <row r="9" spans="1:3">
      <c r="A9" s="11"/>
      <c r="B9" s="12" t="s">
        <v>7</v>
      </c>
      <c r="C9" s="14">
        <f>SUM(C8)</f>
        <v>0</v>
      </c>
    </row>
    <row r="10" spans="1:3">
      <c r="A10" s="11"/>
      <c r="B10" s="12"/>
      <c r="C10" s="13"/>
    </row>
    <row r="11" spans="1:3">
      <c r="A11" s="11">
        <v>2</v>
      </c>
      <c r="B11" s="12" t="s">
        <v>163</v>
      </c>
      <c r="C11" s="14">
        <v>0</v>
      </c>
    </row>
    <row r="12" spans="1:3">
      <c r="A12" s="11" t="s">
        <v>5</v>
      </c>
      <c r="B12" s="12" t="s">
        <v>7</v>
      </c>
      <c r="C12" s="14">
        <f>C11</f>
        <v>0</v>
      </c>
    </row>
    <row r="13" spans="1:3">
      <c r="A13" s="11"/>
      <c r="B13" s="12"/>
      <c r="C13" s="13"/>
    </row>
    <row r="14" spans="1:3">
      <c r="A14" s="11">
        <v>3</v>
      </c>
      <c r="B14" s="12" t="s">
        <v>8</v>
      </c>
      <c r="C14" s="13"/>
    </row>
    <row r="15" spans="1:3">
      <c r="A15" s="11" t="s">
        <v>5</v>
      </c>
      <c r="B15" s="12" t="s">
        <v>8</v>
      </c>
      <c r="C15" s="15">
        <f>'Ann 3'!E5/100000</f>
        <v>32</v>
      </c>
    </row>
    <row r="16" spans="1:3">
      <c r="A16" s="11"/>
      <c r="B16" s="12" t="s">
        <v>7</v>
      </c>
      <c r="C16" s="15">
        <f>C15</f>
        <v>32</v>
      </c>
    </row>
    <row r="17" spans="1:3">
      <c r="A17" s="11"/>
      <c r="B17" s="12"/>
      <c r="C17" s="13"/>
    </row>
    <row r="18" spans="1:3">
      <c r="A18" s="11">
        <v>4</v>
      </c>
      <c r="B18" s="12" t="s">
        <v>9</v>
      </c>
      <c r="C18" s="13"/>
    </row>
    <row r="19" spans="1:3">
      <c r="A19" s="11" t="s">
        <v>5</v>
      </c>
      <c r="B19" s="12" t="s">
        <v>10</v>
      </c>
      <c r="C19" s="15">
        <f>'Ann 3'!E17/100000</f>
        <v>140</v>
      </c>
    </row>
    <row r="20" spans="1:3">
      <c r="A20" s="11"/>
      <c r="B20" s="12" t="s">
        <v>7</v>
      </c>
      <c r="C20" s="16">
        <f>C19</f>
        <v>140</v>
      </c>
    </row>
    <row r="21" spans="1:3">
      <c r="A21" s="11"/>
      <c r="B21" s="12"/>
      <c r="C21" s="13"/>
    </row>
    <row r="22" spans="1:3">
      <c r="A22" s="11">
        <v>5</v>
      </c>
      <c r="B22" s="12" t="s">
        <v>11</v>
      </c>
      <c r="C22" s="13"/>
    </row>
    <row r="23" spans="1:3">
      <c r="A23" s="11" t="s">
        <v>5</v>
      </c>
      <c r="B23" s="12" t="s">
        <v>12</v>
      </c>
      <c r="C23" s="14">
        <f>'Ann 3'!E19/100000</f>
        <v>2</v>
      </c>
    </row>
    <row r="24" spans="1:3">
      <c r="A24" s="11"/>
      <c r="B24" s="12"/>
      <c r="C24" s="14"/>
    </row>
    <row r="25" spans="1:3">
      <c r="A25" s="11">
        <v>6</v>
      </c>
      <c r="B25" s="12" t="s">
        <v>13</v>
      </c>
      <c r="C25" s="14">
        <v>50</v>
      </c>
    </row>
    <row r="26" spans="1:3">
      <c r="A26" s="11"/>
      <c r="B26" s="12"/>
      <c r="C26" s="14"/>
    </row>
    <row r="27" spans="1:3">
      <c r="A27" s="11">
        <v>7</v>
      </c>
      <c r="B27" s="12" t="s">
        <v>14</v>
      </c>
      <c r="C27" s="14">
        <v>0</v>
      </c>
    </row>
    <row r="28" spans="1:3">
      <c r="A28" s="11" t="s">
        <v>5</v>
      </c>
      <c r="B28" s="12" t="s">
        <v>15</v>
      </c>
      <c r="C28" s="14">
        <v>0</v>
      </c>
    </row>
    <row r="29" spans="1:3">
      <c r="A29" s="11"/>
      <c r="B29" s="12" t="s">
        <v>7</v>
      </c>
      <c r="C29" s="14"/>
    </row>
    <row r="30" spans="1:3">
      <c r="A30" s="11"/>
      <c r="B30" s="12"/>
      <c r="C30" s="14"/>
    </row>
    <row r="31" spans="1:3">
      <c r="A31" s="11">
        <v>8</v>
      </c>
      <c r="B31" s="12" t="s">
        <v>16</v>
      </c>
      <c r="C31" s="13"/>
    </row>
    <row r="32" spans="1:3" ht="28">
      <c r="A32" s="11"/>
      <c r="B32" s="17" t="s">
        <v>17</v>
      </c>
      <c r="C32" s="13"/>
    </row>
    <row r="33" spans="1:4">
      <c r="A33" s="11" t="s">
        <v>5</v>
      </c>
      <c r="B33" s="12" t="s">
        <v>18</v>
      </c>
      <c r="C33" s="14"/>
    </row>
    <row r="34" spans="1:4">
      <c r="A34" s="11" t="s">
        <v>19</v>
      </c>
      <c r="B34" s="12" t="s">
        <v>20</v>
      </c>
      <c r="C34" s="14">
        <v>1</v>
      </c>
    </row>
    <row r="35" spans="1:4">
      <c r="A35" s="11"/>
      <c r="B35" s="12" t="s">
        <v>7</v>
      </c>
      <c r="C35" s="14">
        <f>C34</f>
        <v>1</v>
      </c>
    </row>
    <row r="36" spans="1:4">
      <c r="A36" s="11"/>
      <c r="B36" s="12"/>
      <c r="C36" s="14"/>
    </row>
    <row r="37" spans="1:4">
      <c r="A37" s="11">
        <v>9</v>
      </c>
      <c r="B37" s="12" t="s">
        <v>246</v>
      </c>
      <c r="C37" s="14">
        <v>0</v>
      </c>
    </row>
    <row r="38" spans="1:4">
      <c r="A38" s="11"/>
      <c r="B38" s="12"/>
      <c r="C38" s="14"/>
    </row>
    <row r="39" spans="1:4">
      <c r="A39" s="11">
        <v>10</v>
      </c>
      <c r="B39" s="12" t="s">
        <v>63</v>
      </c>
      <c r="C39" s="18">
        <v>0</v>
      </c>
      <c r="D39" s="19"/>
    </row>
    <row r="40" spans="1:4">
      <c r="A40" s="11"/>
      <c r="B40" s="12"/>
      <c r="C40" s="13"/>
    </row>
    <row r="41" spans="1:4" s="5" customFormat="1">
      <c r="A41" s="20"/>
      <c r="B41" s="21" t="s">
        <v>21</v>
      </c>
      <c r="C41" s="22">
        <f>C35+C27+C25+C20+C16+C23+C37+C12+C9+C39</f>
        <v>225</v>
      </c>
    </row>
    <row r="42" spans="1:4">
      <c r="A42" s="23"/>
    </row>
    <row r="43" spans="1:4">
      <c r="A43" s="23"/>
    </row>
    <row r="44" spans="1:4">
      <c r="A44" s="23"/>
    </row>
  </sheetData>
  <pageMargins left="0.7" right="0.7" top="0.75" bottom="0.75" header="0.3" footer="0.3"/>
  <pageSetup scale="93"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ED81CD-D127-4212-A91B-7CC6FC2C782F}">
  <dimension ref="A1:E8"/>
  <sheetViews>
    <sheetView workbookViewId="0">
      <selection activeCell="D7" sqref="D7"/>
    </sheetView>
  </sheetViews>
  <sheetFormatPr defaultRowHeight="14"/>
  <cols>
    <col min="1" max="1" width="8.7265625" style="6"/>
    <col min="2" max="2" width="22.08984375" style="6" customWidth="1"/>
    <col min="3" max="3" width="18.81640625" style="6" bestFit="1" customWidth="1"/>
    <col min="4" max="16384" width="8.7265625" style="6"/>
  </cols>
  <sheetData>
    <row r="1" spans="1:5">
      <c r="A1" s="5" t="s">
        <v>22</v>
      </c>
    </row>
    <row r="3" spans="1:5">
      <c r="A3" s="36" t="s">
        <v>23</v>
      </c>
      <c r="B3" s="25" t="s">
        <v>24</v>
      </c>
      <c r="C3" s="26" t="s">
        <v>4</v>
      </c>
    </row>
    <row r="4" spans="1:5">
      <c r="A4" s="29">
        <v>1</v>
      </c>
      <c r="B4" s="30" t="s">
        <v>25</v>
      </c>
      <c r="C4" s="16">
        <f>C8*10%</f>
        <v>22.5</v>
      </c>
      <c r="D4" s="31"/>
    </row>
    <row r="5" spans="1:5">
      <c r="A5" s="29">
        <v>2</v>
      </c>
      <c r="B5" s="30" t="s">
        <v>26</v>
      </c>
      <c r="C5" s="16">
        <v>0</v>
      </c>
      <c r="D5" s="32"/>
    </row>
    <row r="6" spans="1:5">
      <c r="A6" s="29">
        <v>3</v>
      </c>
      <c r="B6" s="30" t="s">
        <v>27</v>
      </c>
      <c r="C6" s="15">
        <f>C8-C7-C4</f>
        <v>152.5</v>
      </c>
      <c r="D6" s="31">
        <f>C6/$C$8</f>
        <v>0.67777777777777781</v>
      </c>
    </row>
    <row r="7" spans="1:5">
      <c r="A7" s="29">
        <v>4</v>
      </c>
      <c r="B7" s="30" t="s">
        <v>28</v>
      </c>
      <c r="C7" s="15">
        <f>'Ann 1'!C25</f>
        <v>50</v>
      </c>
      <c r="D7" s="31">
        <f>C7/$C$8</f>
        <v>0.22222222222222221</v>
      </c>
      <c r="E7" s="32"/>
    </row>
    <row r="8" spans="1:5">
      <c r="A8" s="33"/>
      <c r="B8" s="34" t="s">
        <v>291</v>
      </c>
      <c r="C8" s="35">
        <f>'Ann 1'!C41</f>
        <v>225</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9B2858-CA67-4C56-BFC5-E2781F80B181}">
  <sheetPr>
    <pageSetUpPr fitToPage="1"/>
  </sheetPr>
  <dimension ref="A1:F23"/>
  <sheetViews>
    <sheetView topLeftCell="A13" workbookViewId="0">
      <selection activeCell="B16" sqref="B16"/>
    </sheetView>
  </sheetViews>
  <sheetFormatPr defaultRowHeight="14"/>
  <cols>
    <col min="1" max="1" width="2.81640625" style="6" bestFit="1" customWidth="1"/>
    <col min="2" max="2" width="90.1796875" style="6" bestFit="1" customWidth="1"/>
    <col min="3" max="3" width="8.7265625" style="6"/>
    <col min="4" max="4" width="10.54296875" style="6" customWidth="1"/>
    <col min="5" max="5" width="12.1796875" style="6" bestFit="1" customWidth="1"/>
    <col min="6" max="6" width="8.7265625" style="6"/>
    <col min="7" max="7" width="9.1796875" style="6" bestFit="1" customWidth="1"/>
    <col min="8" max="16384" width="8.7265625" style="6"/>
  </cols>
  <sheetData>
    <row r="1" spans="1:5">
      <c r="A1" s="5" t="s">
        <v>29</v>
      </c>
    </row>
    <row r="3" spans="1:5">
      <c r="A3" s="36" t="s">
        <v>237</v>
      </c>
      <c r="B3" s="25"/>
      <c r="C3" s="25" t="s">
        <v>30</v>
      </c>
      <c r="D3" s="25"/>
      <c r="E3" s="26" t="s">
        <v>31</v>
      </c>
    </row>
    <row r="4" spans="1:5">
      <c r="A4" s="37">
        <v>1</v>
      </c>
      <c r="B4" s="38" t="s">
        <v>248</v>
      </c>
      <c r="C4" s="39">
        <v>1</v>
      </c>
      <c r="D4" s="40"/>
      <c r="E4" s="41">
        <f>8000*400</f>
        <v>3200000</v>
      </c>
    </row>
    <row r="5" spans="1:5">
      <c r="A5" s="42" t="s">
        <v>238</v>
      </c>
      <c r="B5" s="43"/>
      <c r="C5" s="43"/>
      <c r="D5" s="43"/>
      <c r="E5" s="44">
        <f>SUM(E4:E4)</f>
        <v>3200000</v>
      </c>
    </row>
    <row r="6" spans="1:5">
      <c r="A6" s="33"/>
      <c r="B6" s="34"/>
      <c r="C6" s="34"/>
      <c r="D6" s="34"/>
      <c r="E6" s="45"/>
    </row>
    <row r="7" spans="1:5">
      <c r="A7" s="36" t="s">
        <v>32</v>
      </c>
      <c r="B7" s="114"/>
      <c r="C7" s="25" t="s">
        <v>30</v>
      </c>
      <c r="D7" s="25"/>
      <c r="E7" s="26" t="s">
        <v>31</v>
      </c>
    </row>
    <row r="8" spans="1:5">
      <c r="A8" s="37">
        <v>1</v>
      </c>
      <c r="B8" s="123" t="s">
        <v>294</v>
      </c>
      <c r="C8" s="39">
        <v>1</v>
      </c>
      <c r="D8" s="40"/>
      <c r="E8" s="125">
        <v>14000000</v>
      </c>
    </row>
    <row r="9" spans="1:5">
      <c r="A9" s="29">
        <v>2</v>
      </c>
      <c r="B9" s="123" t="s">
        <v>295</v>
      </c>
      <c r="C9" s="46">
        <v>1</v>
      </c>
      <c r="D9" s="47"/>
      <c r="E9" s="126"/>
    </row>
    <row r="10" spans="1:5">
      <c r="A10" s="29">
        <v>3</v>
      </c>
      <c r="B10" s="123" t="s">
        <v>296</v>
      </c>
      <c r="C10" s="46">
        <v>1</v>
      </c>
      <c r="D10" s="47"/>
      <c r="E10" s="126"/>
    </row>
    <row r="11" spans="1:5">
      <c r="A11" s="29">
        <v>4</v>
      </c>
      <c r="B11" s="123" t="s">
        <v>297</v>
      </c>
      <c r="C11" s="46">
        <v>1</v>
      </c>
      <c r="D11" s="47"/>
      <c r="E11" s="126"/>
    </row>
    <row r="12" spans="1:5">
      <c r="A12" s="29">
        <v>5</v>
      </c>
      <c r="B12" s="123" t="s">
        <v>298</v>
      </c>
      <c r="C12" s="46">
        <v>1</v>
      </c>
      <c r="D12" s="47"/>
      <c r="E12" s="126"/>
    </row>
    <row r="13" spans="1:5">
      <c r="A13" s="29">
        <v>6</v>
      </c>
      <c r="B13" s="123" t="s">
        <v>299</v>
      </c>
      <c r="C13" s="46">
        <v>1</v>
      </c>
      <c r="D13" s="47"/>
      <c r="E13" s="126"/>
    </row>
    <row r="14" spans="1:5">
      <c r="A14" s="29">
        <v>7</v>
      </c>
      <c r="B14" s="123" t="s">
        <v>300</v>
      </c>
      <c r="C14" s="46">
        <v>1</v>
      </c>
      <c r="D14" s="47"/>
      <c r="E14" s="126"/>
    </row>
    <row r="15" spans="1:5">
      <c r="A15" s="29">
        <v>8</v>
      </c>
      <c r="B15" s="123" t="s">
        <v>301</v>
      </c>
      <c r="C15" s="46">
        <v>1</v>
      </c>
      <c r="D15" s="47"/>
      <c r="E15" s="126"/>
    </row>
    <row r="16" spans="1:5">
      <c r="A16" s="29">
        <v>9</v>
      </c>
      <c r="B16" s="123" t="s">
        <v>302</v>
      </c>
      <c r="C16" s="46">
        <v>1</v>
      </c>
      <c r="D16" s="47"/>
      <c r="E16" s="126"/>
    </row>
    <row r="17" spans="1:6" s="5" customFormat="1">
      <c r="A17" s="48" t="s">
        <v>33</v>
      </c>
      <c r="B17" s="49"/>
      <c r="C17" s="49"/>
      <c r="D17" s="49"/>
      <c r="E17" s="50">
        <f>SUM(E8)</f>
        <v>14000000</v>
      </c>
      <c r="F17" s="51"/>
    </row>
    <row r="18" spans="1:6">
      <c r="A18" s="29"/>
      <c r="B18" s="30"/>
      <c r="C18" s="30"/>
      <c r="D18" s="30"/>
      <c r="E18" s="13"/>
    </row>
    <row r="19" spans="1:6">
      <c r="A19" s="36" t="s">
        <v>247</v>
      </c>
      <c r="B19" s="25"/>
      <c r="C19" s="25"/>
      <c r="D19" s="25"/>
      <c r="E19" s="53">
        <v>200000</v>
      </c>
    </row>
    <row r="20" spans="1:6">
      <c r="A20" s="29"/>
      <c r="B20" s="30"/>
      <c r="C20" s="30"/>
      <c r="D20" s="30"/>
      <c r="E20" s="13"/>
    </row>
    <row r="21" spans="1:6" s="5" customFormat="1">
      <c r="A21" s="48" t="s">
        <v>34</v>
      </c>
      <c r="B21" s="49"/>
      <c r="C21" s="49"/>
      <c r="D21" s="49"/>
      <c r="E21" s="50">
        <f>E17+E5+E19</f>
        <v>17400000</v>
      </c>
    </row>
    <row r="22" spans="1:6">
      <c r="E22" s="19"/>
    </row>
    <row r="23" spans="1:6">
      <c r="E23" s="52"/>
    </row>
  </sheetData>
  <mergeCells count="1">
    <mergeCell ref="E8:E16"/>
  </mergeCells>
  <pageMargins left="0.7" right="0.7" top="0.75" bottom="0.75" header="0.3" footer="0.3"/>
  <pageSetup scale="98"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8B6FA6-76E6-4673-8AD3-A2A7C9EA52B0}">
  <sheetPr>
    <pageSetUpPr fitToPage="1"/>
  </sheetPr>
  <dimension ref="A1:K47"/>
  <sheetViews>
    <sheetView workbookViewId="0">
      <selection activeCell="F33" sqref="F33"/>
    </sheetView>
  </sheetViews>
  <sheetFormatPr defaultRowHeight="14"/>
  <cols>
    <col min="1" max="1" width="8.7265625" style="6"/>
    <col min="2" max="2" width="55.7265625" style="6" bestFit="1" customWidth="1"/>
    <col min="3" max="11" width="15.6328125" style="6" bestFit="1" customWidth="1"/>
    <col min="12" max="16384" width="8.7265625" style="6"/>
  </cols>
  <sheetData>
    <row r="1" spans="1:11">
      <c r="A1" s="5" t="s">
        <v>35</v>
      </c>
    </row>
    <row r="3" spans="1:11" s="5" customFormat="1">
      <c r="A3" s="129" t="s">
        <v>36</v>
      </c>
      <c r="B3" s="128" t="s">
        <v>37</v>
      </c>
      <c r="C3" s="127" t="s">
        <v>47</v>
      </c>
      <c r="D3" s="127"/>
      <c r="E3" s="127"/>
      <c r="F3" s="127"/>
      <c r="G3" s="127"/>
      <c r="H3" s="127"/>
      <c r="I3" s="127"/>
      <c r="J3" s="127"/>
      <c r="K3" s="127"/>
    </row>
    <row r="4" spans="1:11" s="5" customFormat="1">
      <c r="A4" s="130"/>
      <c r="B4" s="128"/>
      <c r="C4" s="122" t="s">
        <v>38</v>
      </c>
      <c r="D4" s="122" t="s">
        <v>39</v>
      </c>
      <c r="E4" s="122" t="s">
        <v>40</v>
      </c>
      <c r="F4" s="122" t="s">
        <v>41</v>
      </c>
      <c r="G4" s="122" t="s">
        <v>42</v>
      </c>
      <c r="H4" s="122" t="s">
        <v>43</v>
      </c>
      <c r="I4" s="122" t="s">
        <v>44</v>
      </c>
      <c r="J4" s="122" t="s">
        <v>45</v>
      </c>
      <c r="K4" s="122" t="s">
        <v>46</v>
      </c>
    </row>
    <row r="5" spans="1:11">
      <c r="A5" s="7"/>
      <c r="B5" s="7" t="s">
        <v>48</v>
      </c>
      <c r="C5" s="7">
        <v>12</v>
      </c>
      <c r="D5" s="7">
        <v>12</v>
      </c>
      <c r="E5" s="7">
        <v>12</v>
      </c>
      <c r="F5" s="7">
        <v>12</v>
      </c>
      <c r="G5" s="7">
        <v>12</v>
      </c>
      <c r="H5" s="7">
        <v>12</v>
      </c>
      <c r="I5" s="7">
        <v>12</v>
      </c>
      <c r="J5" s="7">
        <v>12</v>
      </c>
      <c r="K5" s="7">
        <v>12</v>
      </c>
    </row>
    <row r="6" spans="1:11">
      <c r="A6" s="7"/>
      <c r="B6" s="7"/>
      <c r="C6" s="7"/>
      <c r="D6" s="7"/>
      <c r="E6" s="7"/>
      <c r="F6" s="7"/>
      <c r="G6" s="7"/>
      <c r="H6" s="7"/>
      <c r="I6" s="7"/>
      <c r="J6" s="7"/>
      <c r="K6" s="7"/>
    </row>
    <row r="7" spans="1:11">
      <c r="A7" s="7"/>
      <c r="B7" s="7" t="s">
        <v>282</v>
      </c>
      <c r="C7" s="72">
        <f>Budgets!B7*Budgets!$D$18*1.15</f>
        <v>37059348</v>
      </c>
      <c r="D7" s="72">
        <f>Budgets!C7*1.15*Budgets!$D$18*1.05</f>
        <v>42155008.350000001</v>
      </c>
      <c r="E7" s="72">
        <f>Budgets!D7*1.15*Budgets!$D$18*1.05</f>
        <v>45397701.300000004</v>
      </c>
      <c r="F7" s="72">
        <f>Budgets!E7*1.15*Budgets!$D$18*1.05</f>
        <v>48640394.25</v>
      </c>
      <c r="G7" s="72">
        <f>Budgets!F7*1.15*Budgets!$D$18*1.05</f>
        <v>51883087.200000003</v>
      </c>
      <c r="H7" s="72">
        <f>Budgets!G7*1.15*Budgets!$D$18*1.05</f>
        <v>55125780.150000006</v>
      </c>
      <c r="I7" s="72">
        <f>Budgets!H7*1.15*Budgets!$D$18*1.05</f>
        <v>58368473.100000001</v>
      </c>
      <c r="J7" s="72">
        <f>Budgets!I7*1.15*Budgets!$D$18*1.05</f>
        <v>61611166.049999997</v>
      </c>
      <c r="K7" s="72">
        <f>Budgets!J7*1.15*Budgets!$D$18*1.05</f>
        <v>64853858.999999993</v>
      </c>
    </row>
    <row r="8" spans="1:11">
      <c r="A8" s="7"/>
      <c r="B8" s="7" t="s">
        <v>168</v>
      </c>
      <c r="C8" s="72">
        <f>250000+C44</f>
        <v>1370000</v>
      </c>
      <c r="D8" s="72">
        <f t="shared" ref="D8:K8" si="0">250000+D44</f>
        <v>1426000</v>
      </c>
      <c r="E8" s="72">
        <f t="shared" si="0"/>
        <v>1484800</v>
      </c>
      <c r="F8" s="72">
        <f t="shared" si="0"/>
        <v>1546540</v>
      </c>
      <c r="G8" s="72">
        <f t="shared" si="0"/>
        <v>1611367</v>
      </c>
      <c r="H8" s="72">
        <f t="shared" si="0"/>
        <v>1679435.35</v>
      </c>
      <c r="I8" s="72">
        <f t="shared" si="0"/>
        <v>1750907.1175000002</v>
      </c>
      <c r="J8" s="72">
        <f t="shared" si="0"/>
        <v>1825952.4733750001</v>
      </c>
      <c r="K8" s="72">
        <f t="shared" si="0"/>
        <v>1904750.0970437503</v>
      </c>
    </row>
    <row r="9" spans="1:11">
      <c r="A9" s="7"/>
      <c r="B9" s="7" t="s">
        <v>251</v>
      </c>
      <c r="C9" s="72">
        <f>2%*'Ann 3'!E17</f>
        <v>280000</v>
      </c>
      <c r="D9" s="72">
        <f>C9*1.05</f>
        <v>294000</v>
      </c>
      <c r="E9" s="72">
        <f t="shared" ref="E9:K9" si="1">D9*1.05</f>
        <v>308700</v>
      </c>
      <c r="F9" s="72">
        <f t="shared" si="1"/>
        <v>324135</v>
      </c>
      <c r="G9" s="72">
        <f t="shared" si="1"/>
        <v>340341.75</v>
      </c>
      <c r="H9" s="72">
        <f t="shared" si="1"/>
        <v>357358.83750000002</v>
      </c>
      <c r="I9" s="72">
        <f t="shared" si="1"/>
        <v>375226.77937500004</v>
      </c>
      <c r="J9" s="72">
        <f t="shared" si="1"/>
        <v>393988.11834375007</v>
      </c>
      <c r="K9" s="72">
        <f t="shared" si="1"/>
        <v>413687.52426093759</v>
      </c>
    </row>
    <row r="10" spans="1:11">
      <c r="A10" s="7"/>
      <c r="B10" s="7" t="s">
        <v>309</v>
      </c>
      <c r="C10" s="72">
        <f>C23*20%</f>
        <v>14893416</v>
      </c>
      <c r="D10" s="72">
        <f t="shared" ref="D10:K10" si="2">D23*20%</f>
        <v>17747987.400000002</v>
      </c>
      <c r="E10" s="72">
        <f t="shared" si="2"/>
        <v>19113217.200000003</v>
      </c>
      <c r="F10" s="72">
        <f t="shared" si="2"/>
        <v>20478447.000000004</v>
      </c>
      <c r="G10" s="72">
        <f t="shared" si="2"/>
        <v>21843676.800000004</v>
      </c>
      <c r="H10" s="72">
        <f t="shared" si="2"/>
        <v>23208906.600000005</v>
      </c>
      <c r="I10" s="72">
        <f t="shared" si="2"/>
        <v>24574136.400000006</v>
      </c>
      <c r="J10" s="72">
        <f t="shared" si="2"/>
        <v>25939366.200000003</v>
      </c>
      <c r="K10" s="72">
        <f t="shared" si="2"/>
        <v>27304596</v>
      </c>
    </row>
    <row r="11" spans="1:11">
      <c r="A11" s="7"/>
      <c r="B11" s="7" t="s">
        <v>170</v>
      </c>
      <c r="C11" s="72">
        <f>SUM(C7:C10)</f>
        <v>53602764</v>
      </c>
      <c r="D11" s="72">
        <f t="shared" ref="D11:K11" si="3">SUM(D7:D10)</f>
        <v>61622995.75</v>
      </c>
      <c r="E11" s="72">
        <f t="shared" si="3"/>
        <v>66304418.500000007</v>
      </c>
      <c r="F11" s="72">
        <f t="shared" si="3"/>
        <v>70989516.25</v>
      </c>
      <c r="G11" s="72">
        <f t="shared" si="3"/>
        <v>75678472.75</v>
      </c>
      <c r="H11" s="72">
        <f t="shared" si="3"/>
        <v>80371480.937500015</v>
      </c>
      <c r="I11" s="72">
        <f t="shared" si="3"/>
        <v>85068743.396875009</v>
      </c>
      <c r="J11" s="72">
        <f t="shared" si="3"/>
        <v>89770472.841718748</v>
      </c>
      <c r="K11" s="72">
        <f t="shared" si="3"/>
        <v>94476892.621304676</v>
      </c>
    </row>
    <row r="12" spans="1:11">
      <c r="A12" s="7"/>
      <c r="B12" s="7" t="s">
        <v>253</v>
      </c>
      <c r="C12" s="72">
        <v>0</v>
      </c>
      <c r="D12" s="72">
        <f>C13</f>
        <v>696767.99999999814</v>
      </c>
      <c r="E12" s="72">
        <f t="shared" ref="E12:K12" si="4">D13</f>
        <v>1451600</v>
      </c>
      <c r="F12" s="72">
        <f t="shared" si="4"/>
        <v>2264495.9999999963</v>
      </c>
      <c r="G12" s="72">
        <f t="shared" si="4"/>
        <v>3135455.9999999963</v>
      </c>
      <c r="H12" s="72">
        <f t="shared" si="4"/>
        <v>4064480</v>
      </c>
      <c r="I12" s="72">
        <f t="shared" si="4"/>
        <v>3077391.9999999925</v>
      </c>
      <c r="J12" s="72">
        <f t="shared" si="4"/>
        <v>2032240</v>
      </c>
      <c r="K12" s="72">
        <f t="shared" si="4"/>
        <v>929024.00000000373</v>
      </c>
    </row>
    <row r="13" spans="1:11">
      <c r="A13" s="7"/>
      <c r="B13" s="7" t="s">
        <v>254</v>
      </c>
      <c r="C13" s="72">
        <f>Budgets!B25*20</f>
        <v>696767.99999999814</v>
      </c>
      <c r="D13" s="72">
        <f>Budgets!C25*20</f>
        <v>1451600</v>
      </c>
      <c r="E13" s="72">
        <f>Budgets!D25*20</f>
        <v>2264495.9999999963</v>
      </c>
      <c r="F13" s="72">
        <f>Budgets!E25*20</f>
        <v>3135455.9999999963</v>
      </c>
      <c r="G13" s="72">
        <f>Budgets!F25*20</f>
        <v>4064480</v>
      </c>
      <c r="H13" s="72">
        <f>Budgets!G25*20</f>
        <v>3077391.9999999925</v>
      </c>
      <c r="I13" s="72">
        <f>Budgets!H25*20</f>
        <v>2032240</v>
      </c>
      <c r="J13" s="72">
        <f>Budgets!I25*20</f>
        <v>929024.00000000373</v>
      </c>
      <c r="K13" s="72">
        <f>Budgets!J25*20</f>
        <v>-232255.99999999627</v>
      </c>
    </row>
    <row r="14" spans="1:11">
      <c r="A14" s="7"/>
      <c r="B14" s="7" t="s">
        <v>171</v>
      </c>
      <c r="C14" s="72">
        <f>C11+C12-C13</f>
        <v>52905996</v>
      </c>
      <c r="D14" s="72">
        <f t="shared" ref="D14:K14" si="5">D11+D12-D13</f>
        <v>60868163.75</v>
      </c>
      <c r="E14" s="72">
        <f t="shared" si="5"/>
        <v>65491522.5</v>
      </c>
      <c r="F14" s="72">
        <f t="shared" si="5"/>
        <v>70118556.25</v>
      </c>
      <c r="G14" s="72">
        <f t="shared" si="5"/>
        <v>74749448.75</v>
      </c>
      <c r="H14" s="72">
        <f t="shared" si="5"/>
        <v>81358568.93750003</v>
      </c>
      <c r="I14" s="72">
        <f t="shared" si="5"/>
        <v>86113895.396874994</v>
      </c>
      <c r="J14" s="72">
        <f t="shared" si="5"/>
        <v>90873688.841718748</v>
      </c>
      <c r="K14" s="72">
        <f t="shared" si="5"/>
        <v>95638172.621304676</v>
      </c>
    </row>
    <row r="15" spans="1:11">
      <c r="A15" s="7"/>
      <c r="B15" s="7"/>
      <c r="C15" s="72"/>
      <c r="D15" s="72"/>
      <c r="E15" s="72"/>
      <c r="F15" s="72"/>
      <c r="G15" s="72"/>
      <c r="H15" s="72"/>
      <c r="I15" s="72"/>
      <c r="J15" s="72"/>
      <c r="K15" s="72"/>
    </row>
    <row r="16" spans="1:11">
      <c r="A16" s="7"/>
      <c r="B16" s="7" t="s">
        <v>50</v>
      </c>
      <c r="C16" s="72">
        <f>'Ann 8'!E14</f>
        <v>5227200</v>
      </c>
      <c r="D16" s="72">
        <f>1.05*C16</f>
        <v>5488560</v>
      </c>
      <c r="E16" s="72">
        <f t="shared" ref="E16:K16" si="6">1.05*D16</f>
        <v>5762988</v>
      </c>
      <c r="F16" s="72">
        <f t="shared" si="6"/>
        <v>6051137.4000000004</v>
      </c>
      <c r="G16" s="72">
        <f t="shared" si="6"/>
        <v>6353694.2700000005</v>
      </c>
      <c r="H16" s="72">
        <f t="shared" si="6"/>
        <v>6671378.983500001</v>
      </c>
      <c r="I16" s="72">
        <f t="shared" si="6"/>
        <v>7004947.9326750012</v>
      </c>
      <c r="J16" s="72">
        <f t="shared" si="6"/>
        <v>7355195.329308752</v>
      </c>
      <c r="K16" s="72">
        <f t="shared" si="6"/>
        <v>7722955.0957741896</v>
      </c>
    </row>
    <row r="17" spans="1:11">
      <c r="A17" s="7"/>
      <c r="B17" s="7" t="s">
        <v>311</v>
      </c>
      <c r="C17" s="72">
        <f>0.3*Budgets!B6</f>
        <v>1045152</v>
      </c>
      <c r="D17" s="72">
        <f>0.3*Budgets!C6*1.1</f>
        <v>1245472.8</v>
      </c>
      <c r="E17" s="72">
        <f>0.3*Budgets!D6*1.1</f>
        <v>1341278.4000000001</v>
      </c>
      <c r="F17" s="72">
        <f>0.3*Budgets!E6*1.1</f>
        <v>1437084</v>
      </c>
      <c r="G17" s="72">
        <f>0.3*Budgets!F6*1.1</f>
        <v>1532889.6</v>
      </c>
      <c r="H17" s="72">
        <f>0.3*Budgets!G6*1.1</f>
        <v>1628695.2000000002</v>
      </c>
      <c r="I17" s="72">
        <f>0.3*Budgets!H6*1.1</f>
        <v>1724500.8</v>
      </c>
      <c r="J17" s="72">
        <f>0.3*Budgets!I6*1.1</f>
        <v>1820306.4000000001</v>
      </c>
      <c r="K17" s="72">
        <f>0.3*Budgets!J6*1.1</f>
        <v>1916112.0000000002</v>
      </c>
    </row>
    <row r="18" spans="1:11">
      <c r="A18" s="7"/>
      <c r="B18" s="7" t="s">
        <v>318</v>
      </c>
      <c r="C18" s="72">
        <f>1.5*Budgets!B6</f>
        <v>5225760</v>
      </c>
      <c r="D18" s="72">
        <f>1.5*Budgets!C6*1.1</f>
        <v>6227364.0000000009</v>
      </c>
      <c r="E18" s="72">
        <f>1.5*Budgets!D6*1.1</f>
        <v>6706392.0000000009</v>
      </c>
      <c r="F18" s="72">
        <f>1.5*Budgets!E6*1.1</f>
        <v>7185420.0000000009</v>
      </c>
      <c r="G18" s="72">
        <f>1.5*Budgets!F6*1.1</f>
        <v>7664448.0000000009</v>
      </c>
      <c r="H18" s="72">
        <f>1.5*Budgets!G6*1.1</f>
        <v>8143476.0000000009</v>
      </c>
      <c r="I18" s="72">
        <f>1.5*Budgets!H6*1.1</f>
        <v>8622504</v>
      </c>
      <c r="J18" s="72">
        <f>1.5*Budgets!I6*1.1</f>
        <v>9101532</v>
      </c>
      <c r="K18" s="72">
        <f>1.5*Budgets!J6*1.1</f>
        <v>9580560</v>
      </c>
    </row>
    <row r="19" spans="1:11">
      <c r="A19" s="7"/>
      <c r="B19" s="7" t="s">
        <v>316</v>
      </c>
      <c r="C19" s="72">
        <v>500000</v>
      </c>
      <c r="D19" s="72">
        <v>500000</v>
      </c>
      <c r="E19" s="72">
        <v>500000</v>
      </c>
      <c r="F19" s="72">
        <v>500000</v>
      </c>
      <c r="G19" s="72">
        <v>500000</v>
      </c>
      <c r="H19" s="72">
        <v>500000</v>
      </c>
      <c r="I19" s="72">
        <v>500000</v>
      </c>
      <c r="J19" s="72">
        <v>500000</v>
      </c>
      <c r="K19" s="72">
        <v>500000</v>
      </c>
    </row>
    <row r="20" spans="1:11">
      <c r="A20" s="7"/>
      <c r="B20" s="7" t="s">
        <v>7</v>
      </c>
      <c r="C20" s="72">
        <f>SUM(C16:C19)</f>
        <v>11998112</v>
      </c>
      <c r="D20" s="72">
        <f t="shared" ref="D20:K20" si="7">SUM(D16:D19)</f>
        <v>13461396.800000001</v>
      </c>
      <c r="E20" s="72">
        <f t="shared" si="7"/>
        <v>14310658.400000002</v>
      </c>
      <c r="F20" s="72">
        <f t="shared" si="7"/>
        <v>15173641.400000002</v>
      </c>
      <c r="G20" s="72">
        <f t="shared" si="7"/>
        <v>16051031.870000001</v>
      </c>
      <c r="H20" s="72">
        <f t="shared" si="7"/>
        <v>16943550.183500003</v>
      </c>
      <c r="I20" s="72">
        <f t="shared" si="7"/>
        <v>17851952.732675001</v>
      </c>
      <c r="J20" s="72">
        <f t="shared" si="7"/>
        <v>18777033.729308754</v>
      </c>
      <c r="K20" s="72">
        <f t="shared" si="7"/>
        <v>19719627.095774189</v>
      </c>
    </row>
    <row r="21" spans="1:11">
      <c r="A21" s="7"/>
      <c r="B21" s="7"/>
      <c r="C21" s="72"/>
      <c r="D21" s="72"/>
      <c r="E21" s="72"/>
      <c r="F21" s="72"/>
      <c r="G21" s="72"/>
      <c r="H21" s="72"/>
      <c r="I21" s="72"/>
      <c r="J21" s="72"/>
      <c r="K21" s="72"/>
    </row>
    <row r="22" spans="1:11">
      <c r="A22" s="7"/>
      <c r="B22" s="7" t="s">
        <v>85</v>
      </c>
      <c r="C22" s="72">
        <f t="shared" ref="C22:K22" si="8">C20+C14</f>
        <v>64904108</v>
      </c>
      <c r="D22" s="72">
        <f t="shared" si="8"/>
        <v>74329560.549999997</v>
      </c>
      <c r="E22" s="72">
        <f t="shared" si="8"/>
        <v>79802180.900000006</v>
      </c>
      <c r="F22" s="72">
        <f t="shared" si="8"/>
        <v>85292197.650000006</v>
      </c>
      <c r="G22" s="72">
        <f t="shared" si="8"/>
        <v>90800480.620000005</v>
      </c>
      <c r="H22" s="72">
        <f t="shared" si="8"/>
        <v>98302119.121000037</v>
      </c>
      <c r="I22" s="72">
        <f t="shared" si="8"/>
        <v>103965848.12955</v>
      </c>
      <c r="J22" s="72">
        <f t="shared" si="8"/>
        <v>109650722.5710275</v>
      </c>
      <c r="K22" s="72">
        <f t="shared" si="8"/>
        <v>115357799.71707886</v>
      </c>
    </row>
    <row r="23" spans="1:11">
      <c r="A23" s="7"/>
      <c r="B23" s="7" t="s">
        <v>86</v>
      </c>
      <c r="C23" s="72">
        <f>Budgets!B10</f>
        <v>74467080</v>
      </c>
      <c r="D23" s="72">
        <f>Budgets!C10</f>
        <v>88739937</v>
      </c>
      <c r="E23" s="72">
        <f>Budgets!D10</f>
        <v>95566086.000000015</v>
      </c>
      <c r="F23" s="72">
        <f>Budgets!E10</f>
        <v>102392235.00000001</v>
      </c>
      <c r="G23" s="72">
        <f>Budgets!F10</f>
        <v>109218384.00000001</v>
      </c>
      <c r="H23" s="72">
        <f>Budgets!G10</f>
        <v>116044533.00000001</v>
      </c>
      <c r="I23" s="72">
        <f>Budgets!H10</f>
        <v>122870682.00000001</v>
      </c>
      <c r="J23" s="72">
        <f>Budgets!I10</f>
        <v>129696831.00000001</v>
      </c>
      <c r="K23" s="72">
        <f>Budgets!J10</f>
        <v>136522980</v>
      </c>
    </row>
    <row r="24" spans="1:11">
      <c r="A24" s="7"/>
      <c r="B24" s="7" t="s">
        <v>87</v>
      </c>
      <c r="C24" s="72">
        <f>C23-C22</f>
        <v>9562972</v>
      </c>
      <c r="D24" s="72">
        <f t="shared" ref="D24:K24" si="9">D23-D22</f>
        <v>14410376.450000003</v>
      </c>
      <c r="E24" s="72">
        <f t="shared" si="9"/>
        <v>15763905.100000009</v>
      </c>
      <c r="F24" s="72">
        <f t="shared" si="9"/>
        <v>17100037.350000009</v>
      </c>
      <c r="G24" s="72">
        <f t="shared" si="9"/>
        <v>18417903.38000001</v>
      </c>
      <c r="H24" s="72">
        <f t="shared" si="9"/>
        <v>17742413.878999978</v>
      </c>
      <c r="I24" s="72">
        <f t="shared" si="9"/>
        <v>18904833.87045002</v>
      </c>
      <c r="J24" s="72">
        <f t="shared" si="9"/>
        <v>20046108.428972512</v>
      </c>
      <c r="K24" s="72">
        <f t="shared" si="9"/>
        <v>21165180.282921135</v>
      </c>
    </row>
    <row r="25" spans="1:11">
      <c r="A25" s="7"/>
      <c r="B25" s="7"/>
      <c r="C25" s="72"/>
      <c r="D25" s="72"/>
      <c r="E25" s="72"/>
      <c r="F25" s="72"/>
      <c r="G25" s="72"/>
      <c r="H25" s="72"/>
      <c r="I25" s="72"/>
      <c r="J25" s="72"/>
      <c r="K25" s="72"/>
    </row>
    <row r="26" spans="1:11">
      <c r="A26" s="7"/>
      <c r="B26" s="7" t="s">
        <v>88</v>
      </c>
      <c r="C26" s="72"/>
      <c r="D26" s="72"/>
      <c r="E26" s="72"/>
      <c r="F26" s="72"/>
      <c r="G26" s="72"/>
      <c r="H26" s="72"/>
      <c r="I26" s="72"/>
      <c r="J26" s="72"/>
      <c r="K26" s="72"/>
    </row>
    <row r="27" spans="1:11">
      <c r="A27" s="7"/>
      <c r="B27" s="7" t="s">
        <v>89</v>
      </c>
      <c r="C27" s="72">
        <f>SUM('Ann 13'!E10:E13)*100000</f>
        <v>906201.92307692312</v>
      </c>
      <c r="D27" s="72">
        <f>SUM('Ann 13'!E14:E17)*100000</f>
        <v>791826.92307692312</v>
      </c>
      <c r="E27" s="72">
        <f>SUM('Ann 13'!E18:E21)*100000</f>
        <v>651057.69230769237</v>
      </c>
      <c r="F27" s="72">
        <f>SUM('Ann 13'!E22:E25)*100000</f>
        <v>510288.46153846168</v>
      </c>
      <c r="G27" s="72">
        <f>SUM('Ann 13'!E26:E29)*100000</f>
        <v>202355.76923076934</v>
      </c>
      <c r="H27" s="72">
        <f>SUM('Ann 13'!E30:E33)*100000</f>
        <v>0</v>
      </c>
      <c r="I27" s="72">
        <f>SUM('Ann 13'!E34:E37)*100000</f>
        <v>0</v>
      </c>
      <c r="J27" s="72">
        <v>0</v>
      </c>
      <c r="K27" s="72">
        <v>0</v>
      </c>
    </row>
    <row r="28" spans="1:11">
      <c r="A28" s="7"/>
      <c r="B28" s="7" t="s">
        <v>162</v>
      </c>
      <c r="C28" s="72">
        <f>'Ann 1'!$C$25*100000*10%</f>
        <v>500000</v>
      </c>
      <c r="D28" s="72">
        <f>'Ann 1'!$C$25*100000*10%</f>
        <v>500000</v>
      </c>
      <c r="E28" s="72">
        <f>'Ann 1'!$C$25*100000*10%</f>
        <v>500000</v>
      </c>
      <c r="F28" s="72">
        <f>'Ann 1'!$C$25*100000*10%</f>
        <v>500000</v>
      </c>
      <c r="G28" s="72">
        <f>'Ann 1'!$C$25*100000*10%</f>
        <v>500000</v>
      </c>
      <c r="H28" s="72">
        <f>'Ann 1'!$C$25*100000*10%</f>
        <v>500000</v>
      </c>
      <c r="I28" s="72">
        <f>'Ann 1'!$C$25*100000*10%</f>
        <v>500000</v>
      </c>
      <c r="J28" s="72">
        <f>'Ann 1'!$C$25*100000*10%</f>
        <v>500000</v>
      </c>
      <c r="K28" s="72">
        <f>'Ann 1'!$C$25*100000*10%</f>
        <v>500000</v>
      </c>
    </row>
    <row r="29" spans="1:11">
      <c r="A29" s="7"/>
      <c r="B29" s="71" t="s">
        <v>272</v>
      </c>
      <c r="C29" s="72">
        <f>SUM(C27:C28)</f>
        <v>1406201.923076923</v>
      </c>
      <c r="D29" s="72">
        <f t="shared" ref="D29:K29" si="10">SUM(D27:D28)</f>
        <v>1291826.923076923</v>
      </c>
      <c r="E29" s="72">
        <f t="shared" si="10"/>
        <v>1151057.6923076925</v>
      </c>
      <c r="F29" s="72">
        <f t="shared" si="10"/>
        <v>1010288.4615384617</v>
      </c>
      <c r="G29" s="72">
        <f t="shared" si="10"/>
        <v>702355.76923076937</v>
      </c>
      <c r="H29" s="72">
        <f t="shared" si="10"/>
        <v>500000</v>
      </c>
      <c r="I29" s="72">
        <f t="shared" si="10"/>
        <v>500000</v>
      </c>
      <c r="J29" s="72">
        <f t="shared" si="10"/>
        <v>500000</v>
      </c>
      <c r="K29" s="72">
        <f t="shared" si="10"/>
        <v>500000</v>
      </c>
    </row>
    <row r="30" spans="1:11">
      <c r="A30" s="7"/>
      <c r="B30" s="7"/>
      <c r="C30" s="72"/>
      <c r="D30" s="72"/>
      <c r="E30" s="72"/>
      <c r="F30" s="72"/>
      <c r="G30" s="72"/>
      <c r="H30" s="72"/>
      <c r="I30" s="72"/>
      <c r="J30" s="72"/>
      <c r="K30" s="72"/>
    </row>
    <row r="31" spans="1:11">
      <c r="A31" s="7"/>
      <c r="B31" s="7" t="s">
        <v>99</v>
      </c>
      <c r="C31" s="72">
        <f t="shared" ref="C31:K31" si="11">C24-C29</f>
        <v>8156770.076923077</v>
      </c>
      <c r="D31" s="72">
        <f t="shared" si="11"/>
        <v>13118549.526923079</v>
      </c>
      <c r="E31" s="72">
        <f t="shared" si="11"/>
        <v>14612847.407692317</v>
      </c>
      <c r="F31" s="72">
        <f t="shared" si="11"/>
        <v>16089748.888461547</v>
      </c>
      <c r="G31" s="72">
        <f t="shared" si="11"/>
        <v>17715547.610769242</v>
      </c>
      <c r="H31" s="72">
        <f t="shared" si="11"/>
        <v>17242413.878999978</v>
      </c>
      <c r="I31" s="72">
        <f t="shared" si="11"/>
        <v>18404833.87045002</v>
      </c>
      <c r="J31" s="72">
        <f t="shared" si="11"/>
        <v>19546108.428972512</v>
      </c>
      <c r="K31" s="72">
        <f t="shared" si="11"/>
        <v>20665180.282921135</v>
      </c>
    </row>
    <row r="32" spans="1:11">
      <c r="A32" s="7"/>
      <c r="B32" s="7" t="s">
        <v>173</v>
      </c>
      <c r="C32" s="72">
        <f>'Ann 1'!C34*100000</f>
        <v>100000</v>
      </c>
      <c r="D32" s="72">
        <v>0</v>
      </c>
      <c r="E32" s="72">
        <v>0</v>
      </c>
      <c r="F32" s="72">
        <v>0</v>
      </c>
      <c r="G32" s="72">
        <v>0</v>
      </c>
      <c r="H32" s="72">
        <v>0</v>
      </c>
      <c r="I32" s="72">
        <v>0</v>
      </c>
      <c r="J32" s="72">
        <v>0</v>
      </c>
      <c r="K32" s="72">
        <v>0</v>
      </c>
    </row>
    <row r="33" spans="1:11">
      <c r="A33" s="7"/>
      <c r="B33" s="7" t="s">
        <v>326</v>
      </c>
      <c r="C33" s="72">
        <v>0</v>
      </c>
      <c r="D33" s="72">
        <v>0</v>
      </c>
      <c r="E33" s="72">
        <v>0</v>
      </c>
      <c r="F33" s="72">
        <v>0</v>
      </c>
      <c r="G33" s="72">
        <f>'Ann 13'!D5*100000</f>
        <v>6124999.9999999991</v>
      </c>
      <c r="H33" s="72">
        <v>0</v>
      </c>
      <c r="I33" s="72">
        <v>0</v>
      </c>
      <c r="J33" s="72">
        <v>0</v>
      </c>
      <c r="K33" s="72">
        <v>0</v>
      </c>
    </row>
    <row r="34" spans="1:11">
      <c r="A34" s="7"/>
      <c r="B34" s="71" t="s">
        <v>100</v>
      </c>
      <c r="C34" s="72">
        <f>'Ann 9'!C12+'Ann 9'!D12+'Ann 9'!E12</f>
        <v>2440000</v>
      </c>
      <c r="D34" s="72">
        <f>'Ann 9'!C13+'Ann 9'!D13+'Ann 9'!E13</f>
        <v>2091000</v>
      </c>
      <c r="E34" s="72">
        <f>'Ann 9'!C14+'Ann 9'!D14+'Ann 9'!E14</f>
        <v>1792650</v>
      </c>
      <c r="F34" s="72">
        <f>'Ann 9'!C15+'Ann 9'!D15+'Ann 9'!E15</f>
        <v>1537522.5</v>
      </c>
      <c r="G34" s="72">
        <f>'Ann 9'!C16+'Ann 9'!D16+'Ann 9'!E16</f>
        <v>1319287.125</v>
      </c>
      <c r="H34" s="72">
        <f>'Ann 9'!C17+'Ann 9'!D17+'Ann 9'!E17</f>
        <v>1132547.7562500001</v>
      </c>
      <c r="I34" s="72">
        <f>'Ann 9'!C18+'Ann 9'!D18+'Ann 9'!E18</f>
        <v>972703.92281249992</v>
      </c>
      <c r="J34" s="72">
        <f>'Ann 9'!C19+'Ann 9'!D19+'Ann 9'!E19</f>
        <v>835832.83139062498</v>
      </c>
      <c r="K34" s="72">
        <f>'Ann 9'!C20+'Ann 9'!D20+'Ann 9'!E20</f>
        <v>718588.95398203132</v>
      </c>
    </row>
    <row r="35" spans="1:11">
      <c r="A35" s="7"/>
      <c r="B35" s="71" t="s">
        <v>101</v>
      </c>
      <c r="C35" s="72">
        <f>C31-C32-C34</f>
        <v>5616770.076923077</v>
      </c>
      <c r="D35" s="72">
        <f t="shared" ref="D35:F35" si="12">D31-D32-D34</f>
        <v>11027549.526923079</v>
      </c>
      <c r="E35" s="72">
        <f t="shared" si="12"/>
        <v>12820197.407692317</v>
      </c>
      <c r="F35" s="72">
        <f t="shared" si="12"/>
        <v>14552226.388461547</v>
      </c>
      <c r="G35" s="72">
        <f>G31-G32-G34+G33</f>
        <v>22521260.485769242</v>
      </c>
      <c r="H35" s="72">
        <f t="shared" ref="H35:K35" si="13">H31-H32-H34+H33</f>
        <v>16109866.122749979</v>
      </c>
      <c r="I35" s="72">
        <f t="shared" si="13"/>
        <v>17432129.947637521</v>
      </c>
      <c r="J35" s="72">
        <f t="shared" si="13"/>
        <v>18710275.597581886</v>
      </c>
      <c r="K35" s="72">
        <f t="shared" si="13"/>
        <v>19946591.328939103</v>
      </c>
    </row>
    <row r="36" spans="1:11">
      <c r="A36" s="7"/>
      <c r="B36" s="71" t="s">
        <v>102</v>
      </c>
      <c r="C36" s="72">
        <f>'Ann 10'!B14</f>
        <v>1715031.0230769231</v>
      </c>
      <c r="D36" s="72">
        <f>'Ann 10'!C14</f>
        <v>3308264.8580769235</v>
      </c>
      <c r="E36" s="72">
        <f>'Ann 10'!D14</f>
        <v>3846059.2223076951</v>
      </c>
      <c r="F36" s="72">
        <f>'Ann 10'!E14</f>
        <v>4365667.9165384639</v>
      </c>
      <c r="G36" s="72">
        <f>'Ann 10'!F14</f>
        <v>4918878.1457307721</v>
      </c>
      <c r="H36" s="72">
        <f>'Ann 10'!G14</f>
        <v>4832959.8368249936</v>
      </c>
      <c r="I36" s="72">
        <f>'Ann 10'!H14</f>
        <v>5229638.9842912564</v>
      </c>
      <c r="J36" s="72">
        <f>'Ann 10'!I14</f>
        <v>5613082.6792745655</v>
      </c>
      <c r="K36" s="72">
        <f>'Ann 10'!J14</f>
        <v>5983977.398681731</v>
      </c>
    </row>
    <row r="37" spans="1:11">
      <c r="A37" s="7"/>
      <c r="B37" s="71" t="s">
        <v>103</v>
      </c>
      <c r="C37" s="72">
        <f>C35-C36</f>
        <v>3901739.0538461539</v>
      </c>
      <c r="D37" s="72">
        <f>D35-D36</f>
        <v>7719284.6688461555</v>
      </c>
      <c r="E37" s="72">
        <f t="shared" ref="E37:K37" si="14">E35-E36</f>
        <v>8974138.1853846218</v>
      </c>
      <c r="F37" s="72">
        <f t="shared" si="14"/>
        <v>10186558.471923083</v>
      </c>
      <c r="G37" s="72">
        <f t="shared" si="14"/>
        <v>17602382.340038471</v>
      </c>
      <c r="H37" s="72">
        <f t="shared" si="14"/>
        <v>11276906.285924986</v>
      </c>
      <c r="I37" s="72">
        <f t="shared" si="14"/>
        <v>12202490.963346265</v>
      </c>
      <c r="J37" s="72">
        <f t="shared" si="14"/>
        <v>13097192.918307319</v>
      </c>
      <c r="K37" s="72">
        <f t="shared" si="14"/>
        <v>13962613.930257373</v>
      </c>
    </row>
    <row r="38" spans="1:11">
      <c r="A38" s="7"/>
      <c r="B38" s="71" t="s">
        <v>263</v>
      </c>
      <c r="C38" s="72">
        <f>C37*80%</f>
        <v>3121391.2430769233</v>
      </c>
      <c r="D38" s="72">
        <f t="shared" ref="D38:K38" si="15">D37*80%</f>
        <v>6175427.7350769248</v>
      </c>
      <c r="E38" s="72">
        <f t="shared" si="15"/>
        <v>7179310.5483076982</v>
      </c>
      <c r="F38" s="72">
        <f t="shared" si="15"/>
        <v>8149246.7775384672</v>
      </c>
      <c r="G38" s="72">
        <f t="shared" si="15"/>
        <v>14081905.872030778</v>
      </c>
      <c r="H38" s="72">
        <f t="shared" si="15"/>
        <v>9021525.0287399888</v>
      </c>
      <c r="I38" s="72">
        <f t="shared" si="15"/>
        <v>9761992.7706770133</v>
      </c>
      <c r="J38" s="72">
        <f t="shared" si="15"/>
        <v>10477754.334645856</v>
      </c>
      <c r="K38" s="72">
        <f t="shared" si="15"/>
        <v>11170091.144205898</v>
      </c>
    </row>
    <row r="39" spans="1:11">
      <c r="A39" s="7"/>
      <c r="B39" s="71" t="s">
        <v>113</v>
      </c>
      <c r="C39" s="72">
        <f>C37-C38</f>
        <v>780347.81076923059</v>
      </c>
      <c r="D39" s="72">
        <f t="shared" ref="D39:K39" si="16">D37-D38</f>
        <v>1543856.9337692307</v>
      </c>
      <c r="E39" s="72">
        <f t="shared" si="16"/>
        <v>1794827.6370769236</v>
      </c>
      <c r="F39" s="72">
        <f t="shared" si="16"/>
        <v>2037311.6943846159</v>
      </c>
      <c r="G39" s="72">
        <f t="shared" si="16"/>
        <v>3520476.4680076931</v>
      </c>
      <c r="H39" s="72">
        <f t="shared" si="16"/>
        <v>2255381.2571849972</v>
      </c>
      <c r="I39" s="72">
        <f t="shared" si="16"/>
        <v>2440498.1926692519</v>
      </c>
      <c r="J39" s="72">
        <f t="shared" si="16"/>
        <v>2619438.5836614631</v>
      </c>
      <c r="K39" s="72">
        <f t="shared" si="16"/>
        <v>2792522.7860514745</v>
      </c>
    </row>
    <row r="41" spans="1:11">
      <c r="A41" s="6" t="s">
        <v>307</v>
      </c>
    </row>
    <row r="42" spans="1:11">
      <c r="A42" s="6" t="s">
        <v>279</v>
      </c>
    </row>
    <row r="43" spans="1:11">
      <c r="B43" s="6" t="s">
        <v>169</v>
      </c>
      <c r="C43" s="6">
        <v>80000</v>
      </c>
      <c r="D43" s="6">
        <f>C43*1.05</f>
        <v>84000</v>
      </c>
      <c r="E43" s="6">
        <f t="shared" ref="E43:I43" si="17">D43*1.05</f>
        <v>88200</v>
      </c>
      <c r="F43" s="6">
        <f t="shared" si="17"/>
        <v>92610</v>
      </c>
      <c r="G43" s="6">
        <f t="shared" si="17"/>
        <v>97240.5</v>
      </c>
      <c r="H43" s="6">
        <f t="shared" si="17"/>
        <v>102102.52500000001</v>
      </c>
      <c r="I43" s="6">
        <f t="shared" si="17"/>
        <v>107207.65125000001</v>
      </c>
      <c r="J43" s="6">
        <f t="shared" ref="J43" si="18">I43*1.05</f>
        <v>112568.03381250001</v>
      </c>
      <c r="K43" s="6">
        <f t="shared" ref="K43" si="19">J43*1.05</f>
        <v>118196.43550312502</v>
      </c>
    </row>
    <row r="44" spans="1:11">
      <c r="B44" s="6" t="s">
        <v>71</v>
      </c>
      <c r="C44" s="6">
        <f>C43*14</f>
        <v>1120000</v>
      </c>
      <c r="D44" s="6">
        <f t="shared" ref="D44:K44" si="20">D43*14</f>
        <v>1176000</v>
      </c>
      <c r="E44" s="6">
        <f t="shared" si="20"/>
        <v>1234800</v>
      </c>
      <c r="F44" s="6">
        <f t="shared" si="20"/>
        <v>1296540</v>
      </c>
      <c r="G44" s="6">
        <f t="shared" si="20"/>
        <v>1361367</v>
      </c>
      <c r="H44" s="6">
        <f t="shared" si="20"/>
        <v>1429435.35</v>
      </c>
      <c r="I44" s="6">
        <f t="shared" si="20"/>
        <v>1500907.1175000002</v>
      </c>
      <c r="J44" s="6">
        <f t="shared" si="20"/>
        <v>1575952.4733750001</v>
      </c>
      <c r="K44" s="6">
        <f t="shared" si="20"/>
        <v>1654750.0970437503</v>
      </c>
    </row>
    <row r="45" spans="1:11">
      <c r="A45" s="6" t="s">
        <v>280</v>
      </c>
    </row>
    <row r="46" spans="1:11">
      <c r="A46" s="6" t="s">
        <v>288</v>
      </c>
    </row>
    <row r="47" spans="1:11">
      <c r="A47" s="6" t="s">
        <v>312</v>
      </c>
    </row>
  </sheetData>
  <mergeCells count="3">
    <mergeCell ref="C3:K3"/>
    <mergeCell ref="B3:B4"/>
    <mergeCell ref="A3:A4"/>
  </mergeCells>
  <pageMargins left="0.7" right="0.7" top="0.75" bottom="0.75" header="0.3" footer="0.3"/>
  <pageSetup scale="59" fitToHeight="0" orientation="landscape" r:id="rId1"/>
  <ignoredErrors>
    <ignoredError sqref="D27" formulaRange="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4C10C-E414-4E29-98C1-5FAEC5C52CAE}">
  <sheetPr>
    <pageSetUpPr fitToPage="1"/>
  </sheetPr>
  <dimension ref="A1:M55"/>
  <sheetViews>
    <sheetView topLeftCell="A29" workbookViewId="0">
      <selection activeCell="H26" sqref="H26"/>
    </sheetView>
  </sheetViews>
  <sheetFormatPr defaultRowHeight="14"/>
  <cols>
    <col min="1" max="1" width="8.7265625" style="6"/>
    <col min="2" max="2" width="28.26953125" style="6" customWidth="1"/>
    <col min="3" max="3" width="15.6328125" style="6" bestFit="1" customWidth="1"/>
    <col min="4" max="10" width="13.7265625" style="6" bestFit="1" customWidth="1"/>
    <col min="11" max="11" width="13.6328125" style="6" bestFit="1" customWidth="1"/>
    <col min="12" max="12" width="10" style="6" bestFit="1" customWidth="1"/>
    <col min="13" max="16384" width="8.7265625" style="6"/>
  </cols>
  <sheetData>
    <row r="1" spans="1:11">
      <c r="A1" s="5" t="s">
        <v>114</v>
      </c>
    </row>
    <row r="3" spans="1:11">
      <c r="A3" s="6" t="s">
        <v>115</v>
      </c>
    </row>
    <row r="5" spans="1:11">
      <c r="A5" s="131" t="s">
        <v>36</v>
      </c>
      <c r="B5" s="131" t="s">
        <v>37</v>
      </c>
      <c r="C5" s="131" t="s">
        <v>47</v>
      </c>
      <c r="D5" s="131"/>
      <c r="E5" s="131"/>
      <c r="F5" s="131"/>
      <c r="G5" s="131"/>
      <c r="H5" s="131"/>
      <c r="I5" s="131"/>
      <c r="J5" s="131"/>
      <c r="K5" s="131"/>
    </row>
    <row r="6" spans="1:11">
      <c r="A6" s="131"/>
      <c r="B6" s="131"/>
      <c r="C6" s="27" t="s">
        <v>38</v>
      </c>
      <c r="D6" s="27" t="s">
        <v>39</v>
      </c>
      <c r="E6" s="27" t="s">
        <v>40</v>
      </c>
      <c r="F6" s="27" t="s">
        <v>41</v>
      </c>
      <c r="G6" s="27" t="s">
        <v>42</v>
      </c>
      <c r="H6" s="27" t="s">
        <v>43</v>
      </c>
      <c r="I6" s="27" t="s">
        <v>44</v>
      </c>
      <c r="J6" s="27" t="s">
        <v>45</v>
      </c>
      <c r="K6" s="27" t="s">
        <v>46</v>
      </c>
    </row>
    <row r="7" spans="1:11">
      <c r="A7" s="37" t="s">
        <v>148</v>
      </c>
      <c r="B7" s="54" t="s">
        <v>116</v>
      </c>
      <c r="C7" s="55"/>
      <c r="D7" s="55"/>
      <c r="E7" s="56"/>
      <c r="F7" s="56"/>
      <c r="G7" s="56"/>
      <c r="H7" s="56"/>
      <c r="I7" s="56"/>
      <c r="J7" s="56"/>
      <c r="K7" s="56"/>
    </row>
    <row r="8" spans="1:11">
      <c r="A8" s="29">
        <v>1</v>
      </c>
      <c r="B8" s="30" t="s">
        <v>117</v>
      </c>
      <c r="C8" s="12"/>
      <c r="D8" s="12"/>
      <c r="E8" s="13"/>
      <c r="F8" s="13"/>
      <c r="G8" s="13"/>
      <c r="H8" s="13"/>
      <c r="I8" s="13"/>
      <c r="J8" s="13"/>
      <c r="K8" s="13"/>
    </row>
    <row r="9" spans="1:11">
      <c r="A9" s="29"/>
      <c r="B9" s="30" t="s">
        <v>118</v>
      </c>
      <c r="C9" s="57">
        <f>('Ann 9'!F9*100000)+('Ann 1'!C8*100000)</f>
        <v>17400000</v>
      </c>
      <c r="D9" s="58">
        <f>C11</f>
        <v>14960000</v>
      </c>
      <c r="E9" s="16">
        <f t="shared" ref="E9:K9" si="0">D11</f>
        <v>12869000</v>
      </c>
      <c r="F9" s="16">
        <f t="shared" si="0"/>
        <v>11076350</v>
      </c>
      <c r="G9" s="16">
        <f t="shared" si="0"/>
        <v>9538827.5</v>
      </c>
      <c r="H9" s="16">
        <f t="shared" si="0"/>
        <v>8219540.375</v>
      </c>
      <c r="I9" s="16">
        <f t="shared" si="0"/>
        <v>7086992.6187500004</v>
      </c>
      <c r="J9" s="16">
        <f t="shared" si="0"/>
        <v>6114288.6959375003</v>
      </c>
      <c r="K9" s="16">
        <f t="shared" si="0"/>
        <v>5278455.8645468755</v>
      </c>
    </row>
    <row r="10" spans="1:11">
      <c r="A10" s="29"/>
      <c r="B10" s="30" t="s">
        <v>119</v>
      </c>
      <c r="C10" s="57">
        <f>'Ann 9'!C12+'Ann 9'!D12+'Ann 9'!E12</f>
        <v>2440000</v>
      </c>
      <c r="D10" s="58">
        <f>'Ann 9'!C13+'Ann 9'!D13+'Ann 9'!E13</f>
        <v>2091000</v>
      </c>
      <c r="E10" s="16">
        <f>'Ann 9'!C14+'Ann 9'!D14+'Ann 9'!E14</f>
        <v>1792650</v>
      </c>
      <c r="F10" s="16">
        <f>'Ann 9'!C15+'Ann 9'!D15+'Ann 9'!E15</f>
        <v>1537522.5</v>
      </c>
      <c r="G10" s="16">
        <f>'Ann 9'!C16+'Ann 9'!D16+'Ann 9'!E16</f>
        <v>1319287.125</v>
      </c>
      <c r="H10" s="16">
        <f>'Ann 9'!C17+'Ann 9'!D17+'Ann 9'!E17</f>
        <v>1132547.7562500001</v>
      </c>
      <c r="I10" s="16">
        <f>+'Ann 9'!C18+'Ann 9'!D18+'Ann 9'!E18</f>
        <v>972703.92281249992</v>
      </c>
      <c r="J10" s="16">
        <f>'Ann 9'!C19+'Ann 9'!D19+'Ann 9'!E19</f>
        <v>835832.83139062498</v>
      </c>
      <c r="K10" s="16">
        <f>+'Ann 9'!C20+'Ann 9'!D20+'Ann 9'!E20</f>
        <v>718588.95398203132</v>
      </c>
    </row>
    <row r="11" spans="1:11">
      <c r="A11" s="29"/>
      <c r="B11" s="30" t="s">
        <v>120</v>
      </c>
      <c r="C11" s="57">
        <f>C9-C10</f>
        <v>14960000</v>
      </c>
      <c r="D11" s="58">
        <f>D9-D10</f>
        <v>12869000</v>
      </c>
      <c r="E11" s="16">
        <f t="shared" ref="E11:K11" si="1">E9-E10</f>
        <v>11076350</v>
      </c>
      <c r="F11" s="16">
        <f t="shared" si="1"/>
        <v>9538827.5</v>
      </c>
      <c r="G11" s="16">
        <f t="shared" si="1"/>
        <v>8219540.375</v>
      </c>
      <c r="H11" s="16">
        <f t="shared" si="1"/>
        <v>7086992.6187500004</v>
      </c>
      <c r="I11" s="16">
        <f t="shared" si="1"/>
        <v>6114288.6959375003</v>
      </c>
      <c r="J11" s="16">
        <f t="shared" si="1"/>
        <v>5278455.8645468755</v>
      </c>
      <c r="K11" s="16">
        <f t="shared" si="1"/>
        <v>4559866.9105648445</v>
      </c>
    </row>
    <row r="12" spans="1:11">
      <c r="A12" s="29">
        <v>2</v>
      </c>
      <c r="B12" s="30" t="s">
        <v>121</v>
      </c>
      <c r="C12" s="57">
        <f>'Ann 4'!C23*60/300</f>
        <v>14893416</v>
      </c>
      <c r="D12" s="57">
        <f>'Ann 4'!D23*60/300</f>
        <v>17747987.399999999</v>
      </c>
      <c r="E12" s="57">
        <f>'Ann 4'!E23*60/300</f>
        <v>19113217.200000003</v>
      </c>
      <c r="F12" s="57">
        <f>'Ann 4'!F23*60/300</f>
        <v>20478447.000000004</v>
      </c>
      <c r="G12" s="57">
        <f>'Ann 4'!G23*60/300</f>
        <v>21843676.800000004</v>
      </c>
      <c r="H12" s="57">
        <f>'Ann 4'!H23*60/300</f>
        <v>23208906.600000001</v>
      </c>
      <c r="I12" s="57">
        <f>'Ann 4'!I23*60/300</f>
        <v>24574136.400000002</v>
      </c>
      <c r="J12" s="57">
        <f>'Ann 4'!J23*60/300</f>
        <v>25939366.200000003</v>
      </c>
      <c r="K12" s="57">
        <f>'Ann 4'!K23*60/300</f>
        <v>27304596</v>
      </c>
    </row>
    <row r="13" spans="1:11">
      <c r="A13" s="29">
        <v>3</v>
      </c>
      <c r="B13" s="59" t="s">
        <v>265</v>
      </c>
      <c r="C13" s="57">
        <f>'Ann 4'!C13</f>
        <v>696767.99999999814</v>
      </c>
      <c r="D13" s="57">
        <f>'Ann 4'!D13</f>
        <v>1451600</v>
      </c>
      <c r="E13" s="57">
        <f>'Ann 4'!E13</f>
        <v>2264495.9999999963</v>
      </c>
      <c r="F13" s="57">
        <f>'Ann 4'!F13</f>
        <v>3135455.9999999963</v>
      </c>
      <c r="G13" s="57">
        <f>'Ann 4'!G13</f>
        <v>4064480</v>
      </c>
      <c r="H13" s="57">
        <f>'Ann 4'!H13</f>
        <v>3077391.9999999925</v>
      </c>
      <c r="I13" s="57">
        <f>'Ann 4'!I13</f>
        <v>2032240</v>
      </c>
      <c r="J13" s="57">
        <f>'Ann 4'!J13</f>
        <v>929024.00000000373</v>
      </c>
      <c r="K13" s="57">
        <f>'Ann 4'!K13</f>
        <v>-232255.99999999627</v>
      </c>
    </row>
    <row r="14" spans="1:11">
      <c r="A14" s="29">
        <v>4</v>
      </c>
      <c r="B14" s="30" t="s">
        <v>122</v>
      </c>
      <c r="C14" s="60">
        <f>'Ann 14'!C21</f>
        <v>7142916.0876923092</v>
      </c>
      <c r="D14" s="60">
        <f>'Ann 14'!D21</f>
        <v>7207285.3003076836</v>
      </c>
      <c r="E14" s="60">
        <f>'Ann 14'!E21</f>
        <v>7652860.1162307691</v>
      </c>
      <c r="F14" s="60">
        <f>'Ann 14'!F21</f>
        <v>8027727.4894615319</v>
      </c>
      <c r="G14" s="60">
        <f>'Ann 14'!G21</f>
        <v>4917152.5690076826</v>
      </c>
      <c r="H14" s="60">
        <f>'Ann 14'!H21</f>
        <v>9309316.6074426956</v>
      </c>
      <c r="I14" s="60">
        <f>'Ann 14'!I21</f>
        <v>13784817.747924404</v>
      </c>
      <c r="J14" s="60">
        <f>'Ann 14'!J21</f>
        <v>18360452.187976483</v>
      </c>
      <c r="K14" s="60">
        <f>'Ann 14'!K21</f>
        <v>23049990.953009993</v>
      </c>
    </row>
    <row r="15" spans="1:11">
      <c r="A15" s="29"/>
      <c r="B15" s="30" t="s">
        <v>130</v>
      </c>
      <c r="C15" s="57">
        <f t="shared" ref="C15:K15" si="2">SUM(C11:C14)</f>
        <v>37693100.087692305</v>
      </c>
      <c r="D15" s="57">
        <f t="shared" si="2"/>
        <v>39275872.700307682</v>
      </c>
      <c r="E15" s="61">
        <f t="shared" si="2"/>
        <v>40106923.316230766</v>
      </c>
      <c r="F15" s="61">
        <f t="shared" si="2"/>
        <v>41180457.989461534</v>
      </c>
      <c r="G15" s="61">
        <f t="shared" si="2"/>
        <v>39044849.744007684</v>
      </c>
      <c r="H15" s="61">
        <f t="shared" si="2"/>
        <v>42682607.826192692</v>
      </c>
      <c r="I15" s="61">
        <f t="shared" si="2"/>
        <v>46505482.843861908</v>
      </c>
      <c r="J15" s="61">
        <f t="shared" si="2"/>
        <v>50507298.252523363</v>
      </c>
      <c r="K15" s="61">
        <f t="shared" si="2"/>
        <v>54682197.86357484</v>
      </c>
    </row>
    <row r="16" spans="1:11">
      <c r="A16" s="29"/>
      <c r="B16" s="30"/>
      <c r="C16" s="57"/>
      <c r="D16" s="57"/>
      <c r="E16" s="61"/>
      <c r="F16" s="61"/>
      <c r="G16" s="61"/>
      <c r="H16" s="61"/>
      <c r="I16" s="61"/>
      <c r="J16" s="61"/>
      <c r="K16" s="61"/>
    </row>
    <row r="17" spans="1:13">
      <c r="A17" s="29" t="s">
        <v>149</v>
      </c>
      <c r="B17" s="62" t="s">
        <v>123</v>
      </c>
      <c r="C17" s="12"/>
      <c r="D17" s="12"/>
      <c r="E17" s="13"/>
      <c r="F17" s="13"/>
      <c r="G17" s="13"/>
      <c r="H17" s="13"/>
      <c r="I17" s="13"/>
      <c r="J17" s="13"/>
      <c r="K17" s="13"/>
    </row>
    <row r="18" spans="1:13">
      <c r="A18" s="29">
        <v>1</v>
      </c>
      <c r="B18" s="30" t="s">
        <v>124</v>
      </c>
      <c r="C18" s="60">
        <f>'Ann 2'!C4*100000</f>
        <v>2250000</v>
      </c>
      <c r="D18" s="60">
        <f>C21</f>
        <v>3030347.8107692306</v>
      </c>
      <c r="E18" s="63">
        <f t="shared" ref="E18:K18" si="3">D21</f>
        <v>4574204.7445384618</v>
      </c>
      <c r="F18" s="63">
        <f t="shared" si="3"/>
        <v>6369032.3816153854</v>
      </c>
      <c r="G18" s="63">
        <f t="shared" si="3"/>
        <v>8406344.0760000013</v>
      </c>
      <c r="H18" s="63">
        <f t="shared" si="3"/>
        <v>11926820.544007694</v>
      </c>
      <c r="I18" s="63">
        <f t="shared" si="3"/>
        <v>14182201.801192692</v>
      </c>
      <c r="J18" s="63">
        <f t="shared" si="3"/>
        <v>16622699.993861943</v>
      </c>
      <c r="K18" s="63">
        <f t="shared" si="3"/>
        <v>19242138.577523407</v>
      </c>
    </row>
    <row r="19" spans="1:13">
      <c r="A19" s="29"/>
      <c r="B19" s="30" t="s">
        <v>125</v>
      </c>
      <c r="C19" s="60">
        <f>'Ann 4'!C39</f>
        <v>780347.81076923059</v>
      </c>
      <c r="D19" s="60">
        <f>'Ann 4'!D39</f>
        <v>1543856.9337692307</v>
      </c>
      <c r="E19" s="63">
        <f>'Ann 4'!E39</f>
        <v>1794827.6370769236</v>
      </c>
      <c r="F19" s="63">
        <f>'Ann 4'!F39</f>
        <v>2037311.6943846159</v>
      </c>
      <c r="G19" s="63">
        <f>'Ann 4'!G39</f>
        <v>3520476.4680076931</v>
      </c>
      <c r="H19" s="63">
        <f>'Ann 4'!H39</f>
        <v>2255381.2571849972</v>
      </c>
      <c r="I19" s="63">
        <f>'Ann 4'!I39</f>
        <v>2440498.1926692519</v>
      </c>
      <c r="J19" s="63">
        <f>'Ann 4'!J39</f>
        <v>2619438.5836614631</v>
      </c>
      <c r="K19" s="63">
        <f>'Ann 4'!K39</f>
        <v>2792522.7860514745</v>
      </c>
    </row>
    <row r="20" spans="1:13">
      <c r="A20" s="29"/>
      <c r="B20" s="30" t="s">
        <v>126</v>
      </c>
      <c r="C20" s="60">
        <v>0</v>
      </c>
      <c r="D20" s="60">
        <v>0</v>
      </c>
      <c r="E20" s="63">
        <v>0</v>
      </c>
      <c r="F20" s="63">
        <v>0</v>
      </c>
      <c r="G20" s="63">
        <v>0</v>
      </c>
      <c r="H20" s="63">
        <v>0</v>
      </c>
      <c r="I20" s="63">
        <v>0</v>
      </c>
      <c r="J20" s="63">
        <v>0</v>
      </c>
      <c r="K20" s="63">
        <v>0</v>
      </c>
    </row>
    <row r="21" spans="1:13">
      <c r="A21" s="29"/>
      <c r="B21" s="30" t="s">
        <v>127</v>
      </c>
      <c r="C21" s="60">
        <f>C18+C19</f>
        <v>3030347.8107692306</v>
      </c>
      <c r="D21" s="60">
        <f t="shared" ref="D21:K21" si="4">D18+D19</f>
        <v>4574204.7445384618</v>
      </c>
      <c r="E21" s="63">
        <f t="shared" si="4"/>
        <v>6369032.3816153854</v>
      </c>
      <c r="F21" s="63">
        <f t="shared" si="4"/>
        <v>8406344.0760000013</v>
      </c>
      <c r="G21" s="63">
        <f t="shared" si="4"/>
        <v>11926820.544007694</v>
      </c>
      <c r="H21" s="63">
        <f t="shared" si="4"/>
        <v>14182201.801192692</v>
      </c>
      <c r="I21" s="63">
        <f t="shared" si="4"/>
        <v>16622699.993861943</v>
      </c>
      <c r="J21" s="63">
        <f t="shared" si="4"/>
        <v>19242138.577523407</v>
      </c>
      <c r="K21" s="63">
        <f t="shared" si="4"/>
        <v>22034661.363574881</v>
      </c>
    </row>
    <row r="22" spans="1:13">
      <c r="A22" s="29">
        <v>2</v>
      </c>
      <c r="B22" s="30" t="s">
        <v>128</v>
      </c>
      <c r="C22" s="60">
        <f>'Ann 13'!C14*100000</f>
        <v>14076923.076923078</v>
      </c>
      <c r="D22" s="60">
        <f>'Ann 13'!C18*100000</f>
        <v>11730769.230769232</v>
      </c>
      <c r="E22" s="60">
        <f>'Ann 13'!C22*100000</f>
        <v>9384615.3846153859</v>
      </c>
      <c r="F22" s="60">
        <f>'Ann 13'!C26*100000</f>
        <v>7038461.5384615418</v>
      </c>
      <c r="G22" s="63">
        <f>('Ann 13'!C29-'Ann 13'!D29)*100000</f>
        <v>0</v>
      </c>
      <c r="H22" s="63">
        <f>('Ann 13'!C33-'Ann 13'!D33)*100000</f>
        <v>0</v>
      </c>
      <c r="I22" s="63">
        <v>0</v>
      </c>
      <c r="J22" s="63">
        <v>0</v>
      </c>
      <c r="K22" s="63">
        <v>0</v>
      </c>
    </row>
    <row r="23" spans="1:13">
      <c r="A23" s="29">
        <v>3</v>
      </c>
      <c r="B23" s="59" t="s">
        <v>161</v>
      </c>
      <c r="C23" s="60">
        <f>'Ann 2'!$C$7*100000</f>
        <v>5000000</v>
      </c>
      <c r="D23" s="60">
        <f>'Ann 2'!$C$7*100000</f>
        <v>5000000</v>
      </c>
      <c r="E23" s="60">
        <f>'Ann 2'!$C$7*100000</f>
        <v>5000000</v>
      </c>
      <c r="F23" s="60">
        <f>'Ann 2'!$C$7*100000</f>
        <v>5000000</v>
      </c>
      <c r="G23" s="60">
        <f>'Ann 2'!$C$7*100000</f>
        <v>5000000</v>
      </c>
      <c r="H23" s="60">
        <f>'Ann 2'!$C$7*100000</f>
        <v>5000000</v>
      </c>
      <c r="I23" s="60">
        <f>'Ann 2'!$C$7*100000</f>
        <v>5000000</v>
      </c>
      <c r="J23" s="60">
        <f>'Ann 2'!$C$7*100000</f>
        <v>5000000</v>
      </c>
      <c r="K23" s="60">
        <f>'Ann 2'!$C$7*100000</f>
        <v>5000000</v>
      </c>
    </row>
    <row r="24" spans="1:13">
      <c r="A24" s="29">
        <v>4</v>
      </c>
      <c r="B24" s="59" t="s">
        <v>156</v>
      </c>
      <c r="C24" s="60">
        <f>('Ann 4'!C10+'Ann 4'!C7)*90/300</f>
        <v>15585829.199999999</v>
      </c>
      <c r="D24" s="60">
        <f>('Ann 4'!D10+'Ann 4'!D7)*90/300</f>
        <v>17970898.725000001</v>
      </c>
      <c r="E24" s="60">
        <f>('Ann 4'!E10+'Ann 4'!E7)*90/300</f>
        <v>19353275.550000004</v>
      </c>
      <c r="F24" s="60">
        <f>('Ann 4'!F10+'Ann 4'!F7)*90/300</f>
        <v>20735652.375</v>
      </c>
      <c r="G24" s="60">
        <f>('Ann 4'!G10+'Ann 4'!G7)*90/300</f>
        <v>22118029.199999999</v>
      </c>
      <c r="H24" s="60">
        <f>('Ann 4'!H10+'Ann 4'!H7)*90/300</f>
        <v>23500406.025000002</v>
      </c>
      <c r="I24" s="60">
        <f>('Ann 4'!I10+'Ann 4'!I7)*90/300</f>
        <v>24882782.850000001</v>
      </c>
      <c r="J24" s="60">
        <f>('Ann 4'!J10+'Ann 4'!J7)*90/300</f>
        <v>26265159.675000001</v>
      </c>
      <c r="K24" s="60">
        <f>('Ann 4'!K10+'Ann 4'!K7)*90/300</f>
        <v>27647536.5</v>
      </c>
    </row>
    <row r="25" spans="1:13">
      <c r="A25" s="29"/>
      <c r="B25" s="30" t="s">
        <v>129</v>
      </c>
      <c r="C25" s="57">
        <f t="shared" ref="C25:K25" si="5">SUM(C21:C24)</f>
        <v>37693100.087692305</v>
      </c>
      <c r="D25" s="57">
        <f t="shared" si="5"/>
        <v>39275872.700307697</v>
      </c>
      <c r="E25" s="57">
        <f t="shared" si="5"/>
        <v>40106923.316230774</v>
      </c>
      <c r="F25" s="57">
        <f t="shared" si="5"/>
        <v>41180457.989461541</v>
      </c>
      <c r="G25" s="57">
        <f t="shared" si="5"/>
        <v>39044849.744007692</v>
      </c>
      <c r="H25" s="57">
        <f t="shared" si="5"/>
        <v>42682607.826192692</v>
      </c>
      <c r="I25" s="57">
        <f t="shared" si="5"/>
        <v>46505482.843861945</v>
      </c>
      <c r="J25" s="57">
        <f t="shared" si="5"/>
        <v>50507298.252523407</v>
      </c>
      <c r="K25" s="57">
        <f t="shared" si="5"/>
        <v>54682197.863574877</v>
      </c>
    </row>
    <row r="26" spans="1:13">
      <c r="A26" s="29"/>
      <c r="B26" s="30"/>
      <c r="C26" s="57"/>
      <c r="D26" s="57"/>
      <c r="E26" s="57"/>
      <c r="F26" s="57"/>
      <c r="G26" s="57"/>
      <c r="H26" s="57"/>
      <c r="I26" s="57"/>
      <c r="J26" s="57"/>
      <c r="K26" s="57"/>
      <c r="L26" s="64"/>
      <c r="M26" s="30"/>
    </row>
    <row r="27" spans="1:13" s="5" customFormat="1">
      <c r="A27" s="117"/>
      <c r="B27" s="118" t="s">
        <v>131</v>
      </c>
      <c r="C27" s="119"/>
      <c r="D27" s="119"/>
      <c r="E27" s="120"/>
      <c r="F27" s="120"/>
      <c r="G27" s="120"/>
      <c r="H27" s="120"/>
      <c r="I27" s="120"/>
      <c r="J27" s="120"/>
      <c r="K27" s="120"/>
    </row>
    <row r="28" spans="1:13">
      <c r="A28" s="29"/>
      <c r="B28" s="30" t="s">
        <v>132</v>
      </c>
      <c r="C28" s="57">
        <f t="shared" ref="C28:K28" si="6">SUM(C12:C14)</f>
        <v>22733100.087692305</v>
      </c>
      <c r="D28" s="57">
        <f t="shared" si="6"/>
        <v>26406872.700307682</v>
      </c>
      <c r="E28" s="61">
        <f t="shared" si="6"/>
        <v>29030573.316230766</v>
      </c>
      <c r="F28" s="61">
        <f t="shared" si="6"/>
        <v>31641630.489461534</v>
      </c>
      <c r="G28" s="61">
        <f t="shared" si="6"/>
        <v>30825309.369007688</v>
      </c>
      <c r="H28" s="61">
        <f t="shared" si="6"/>
        <v>35595615.207442686</v>
      </c>
      <c r="I28" s="61">
        <f t="shared" si="6"/>
        <v>40391194.147924408</v>
      </c>
      <c r="J28" s="61">
        <f t="shared" si="6"/>
        <v>45228842.38797649</v>
      </c>
      <c r="K28" s="61">
        <f t="shared" si="6"/>
        <v>50122330.953009993</v>
      </c>
    </row>
    <row r="29" spans="1:13">
      <c r="A29" s="29"/>
      <c r="B29" s="30" t="s">
        <v>133</v>
      </c>
      <c r="C29" s="57">
        <f>C24+C23</f>
        <v>20585829.199999999</v>
      </c>
      <c r="D29" s="57">
        <f t="shared" ref="D29:K29" si="7">D24+D23</f>
        <v>22970898.725000001</v>
      </c>
      <c r="E29" s="57">
        <f t="shared" si="7"/>
        <v>24353275.550000004</v>
      </c>
      <c r="F29" s="57">
        <f t="shared" si="7"/>
        <v>25735652.375</v>
      </c>
      <c r="G29" s="57">
        <f t="shared" si="7"/>
        <v>27118029.199999999</v>
      </c>
      <c r="H29" s="57">
        <f t="shared" si="7"/>
        <v>28500406.025000002</v>
      </c>
      <c r="I29" s="57">
        <f t="shared" si="7"/>
        <v>29882782.850000001</v>
      </c>
      <c r="J29" s="57">
        <f t="shared" si="7"/>
        <v>31265159.675000001</v>
      </c>
      <c r="K29" s="57">
        <f t="shared" si="7"/>
        <v>32647536.5</v>
      </c>
    </row>
    <row r="30" spans="1:13">
      <c r="A30" s="29"/>
      <c r="B30" s="30" t="s">
        <v>137</v>
      </c>
      <c r="C30" s="12">
        <f>C28/C29</f>
        <v>1.1043082047767261</v>
      </c>
      <c r="D30" s="12">
        <f>D28/D29</f>
        <v>1.1495794316296468</v>
      </c>
      <c r="E30" s="13">
        <f t="shared" ref="E30:K30" si="8">E28/E29</f>
        <v>1.1920603147050073</v>
      </c>
      <c r="F30" s="13">
        <f t="shared" si="8"/>
        <v>1.2294862406596185</v>
      </c>
      <c r="G30" s="13">
        <f t="shared" si="8"/>
        <v>1.1367090558707595</v>
      </c>
      <c r="H30" s="13">
        <f t="shared" si="8"/>
        <v>1.2489511614753455</v>
      </c>
      <c r="I30" s="13">
        <f t="shared" si="8"/>
        <v>1.3516543740478444</v>
      </c>
      <c r="J30" s="13">
        <f t="shared" si="8"/>
        <v>1.4466211865900693</v>
      </c>
      <c r="K30" s="13">
        <f t="shared" si="8"/>
        <v>1.5352561426192139</v>
      </c>
    </row>
    <row r="31" spans="1:13">
      <c r="A31" s="29"/>
      <c r="B31" s="59" t="s">
        <v>150</v>
      </c>
      <c r="C31" s="12"/>
      <c r="D31" s="12"/>
      <c r="E31" s="13"/>
      <c r="F31" s="13">
        <f>AVERAGE(C30:K30)</f>
        <v>1.2660695680415814</v>
      </c>
      <c r="G31" s="13"/>
      <c r="H31" s="13"/>
      <c r="I31" s="13"/>
      <c r="J31" s="13"/>
      <c r="K31" s="13"/>
    </row>
    <row r="32" spans="1:13">
      <c r="A32" s="29"/>
      <c r="B32" s="30"/>
      <c r="C32" s="12"/>
      <c r="D32" s="12"/>
      <c r="E32" s="13"/>
      <c r="F32" s="13"/>
      <c r="G32" s="13"/>
      <c r="H32" s="13"/>
      <c r="I32" s="13"/>
      <c r="J32" s="13"/>
      <c r="K32" s="13"/>
    </row>
    <row r="33" spans="1:11" s="5" customFormat="1">
      <c r="A33" s="117"/>
      <c r="B33" s="118" t="s">
        <v>134</v>
      </c>
      <c r="C33" s="119"/>
      <c r="D33" s="119"/>
      <c r="E33" s="120"/>
      <c r="F33" s="120"/>
      <c r="G33" s="120"/>
      <c r="H33" s="120"/>
      <c r="I33" s="120"/>
      <c r="J33" s="120"/>
      <c r="K33" s="120"/>
    </row>
    <row r="34" spans="1:11">
      <c r="A34" s="29"/>
      <c r="B34" s="30" t="s">
        <v>135</v>
      </c>
      <c r="C34" s="57">
        <f>C22+C23</f>
        <v>19076923.07692308</v>
      </c>
      <c r="D34" s="57">
        <f t="shared" ref="D34:K34" si="9">D22+D23</f>
        <v>16730769.230769232</v>
      </c>
      <c r="E34" s="57">
        <f t="shared" si="9"/>
        <v>14384615.384615386</v>
      </c>
      <c r="F34" s="57">
        <f t="shared" si="9"/>
        <v>12038461.538461542</v>
      </c>
      <c r="G34" s="57">
        <f t="shared" si="9"/>
        <v>5000000</v>
      </c>
      <c r="H34" s="57">
        <f t="shared" si="9"/>
        <v>5000000</v>
      </c>
      <c r="I34" s="57">
        <f t="shared" si="9"/>
        <v>5000000</v>
      </c>
      <c r="J34" s="57">
        <f t="shared" si="9"/>
        <v>5000000</v>
      </c>
      <c r="K34" s="57">
        <f t="shared" si="9"/>
        <v>5000000</v>
      </c>
    </row>
    <row r="35" spans="1:11">
      <c r="A35" s="29"/>
      <c r="B35" s="30" t="s">
        <v>136</v>
      </c>
      <c r="C35" s="57">
        <f t="shared" ref="C35:K35" si="10">C21</f>
        <v>3030347.8107692306</v>
      </c>
      <c r="D35" s="57">
        <f t="shared" si="10"/>
        <v>4574204.7445384618</v>
      </c>
      <c r="E35" s="61">
        <f t="shared" si="10"/>
        <v>6369032.3816153854</v>
      </c>
      <c r="F35" s="61">
        <f t="shared" si="10"/>
        <v>8406344.0760000013</v>
      </c>
      <c r="G35" s="61">
        <f t="shared" si="10"/>
        <v>11926820.544007694</v>
      </c>
      <c r="H35" s="61">
        <f t="shared" si="10"/>
        <v>14182201.801192692</v>
      </c>
      <c r="I35" s="61">
        <f t="shared" si="10"/>
        <v>16622699.993861943</v>
      </c>
      <c r="J35" s="61">
        <f t="shared" si="10"/>
        <v>19242138.577523407</v>
      </c>
      <c r="K35" s="61">
        <f t="shared" si="10"/>
        <v>22034661.363574881</v>
      </c>
    </row>
    <row r="36" spans="1:11">
      <c r="A36" s="29"/>
      <c r="B36" s="30" t="s">
        <v>137</v>
      </c>
      <c r="C36" s="12">
        <f>C34/C35</f>
        <v>6.2952915863742218</v>
      </c>
      <c r="D36" s="12">
        <f t="shared" ref="D36:K36" si="11">D34/D35</f>
        <v>3.6576345321545878</v>
      </c>
      <c r="E36" s="13">
        <f t="shared" si="11"/>
        <v>2.2585244543798346</v>
      </c>
      <c r="F36" s="13">
        <f t="shared" si="11"/>
        <v>1.4320686174185027</v>
      </c>
      <c r="G36" s="13">
        <f t="shared" si="11"/>
        <v>0.41922321054055883</v>
      </c>
      <c r="H36" s="13">
        <f t="shared" si="11"/>
        <v>0.3525545659334442</v>
      </c>
      <c r="I36" s="13">
        <f t="shared" si="11"/>
        <v>0.30079349334622457</v>
      </c>
      <c r="J36" s="13">
        <f t="shared" si="11"/>
        <v>0.25984637725457715</v>
      </c>
      <c r="K36" s="13">
        <f t="shared" si="11"/>
        <v>0.22691521859579897</v>
      </c>
    </row>
    <row r="37" spans="1:11">
      <c r="A37" s="29"/>
      <c r="B37" s="59" t="s">
        <v>150</v>
      </c>
      <c r="C37" s="12"/>
      <c r="D37" s="12"/>
      <c r="E37" s="13"/>
      <c r="F37" s="13">
        <f>AVERAGE(C36:K36)</f>
        <v>1.6892057839997501</v>
      </c>
      <c r="G37" s="13"/>
      <c r="H37" s="13"/>
      <c r="I37" s="61"/>
      <c r="J37" s="61"/>
      <c r="K37" s="61"/>
    </row>
    <row r="38" spans="1:11">
      <c r="A38" s="29"/>
      <c r="B38" s="30"/>
      <c r="C38" s="12"/>
      <c r="D38" s="12"/>
      <c r="E38" s="13"/>
      <c r="F38" s="13"/>
      <c r="G38" s="13"/>
      <c r="H38" s="13"/>
      <c r="I38" s="61"/>
      <c r="J38" s="61"/>
      <c r="K38" s="61"/>
    </row>
    <row r="39" spans="1:11" s="5" customFormat="1">
      <c r="A39" s="117"/>
      <c r="B39" s="118" t="s">
        <v>151</v>
      </c>
      <c r="C39" s="119"/>
      <c r="D39" s="119"/>
      <c r="E39" s="120"/>
      <c r="F39" s="120"/>
      <c r="G39" s="120"/>
      <c r="H39" s="120"/>
      <c r="I39" s="121"/>
      <c r="J39" s="121"/>
      <c r="K39" s="121"/>
    </row>
    <row r="40" spans="1:11">
      <c r="A40" s="29"/>
      <c r="B40" s="59" t="s">
        <v>152</v>
      </c>
      <c r="C40" s="57">
        <f t="shared" ref="C40:K40" si="12">C11</f>
        <v>14960000</v>
      </c>
      <c r="D40" s="57">
        <f t="shared" si="12"/>
        <v>12869000</v>
      </c>
      <c r="E40" s="57">
        <f t="shared" si="12"/>
        <v>11076350</v>
      </c>
      <c r="F40" s="57">
        <f t="shared" si="12"/>
        <v>9538827.5</v>
      </c>
      <c r="G40" s="57">
        <f t="shared" si="12"/>
        <v>8219540.375</v>
      </c>
      <c r="H40" s="57">
        <f t="shared" si="12"/>
        <v>7086992.6187500004</v>
      </c>
      <c r="I40" s="57">
        <f t="shared" si="12"/>
        <v>6114288.6959375003</v>
      </c>
      <c r="J40" s="57">
        <f t="shared" si="12"/>
        <v>5278455.8645468755</v>
      </c>
      <c r="K40" s="57">
        <f t="shared" si="12"/>
        <v>4559866.9105648445</v>
      </c>
    </row>
    <row r="41" spans="1:11">
      <c r="A41" s="29"/>
      <c r="B41" s="59" t="s">
        <v>135</v>
      </c>
      <c r="C41" s="57">
        <f t="shared" ref="C41:K41" si="13">C22+C23</f>
        <v>19076923.07692308</v>
      </c>
      <c r="D41" s="57">
        <f t="shared" si="13"/>
        <v>16730769.230769232</v>
      </c>
      <c r="E41" s="57">
        <f t="shared" si="13"/>
        <v>14384615.384615386</v>
      </c>
      <c r="F41" s="57">
        <f t="shared" si="13"/>
        <v>12038461.538461542</v>
      </c>
      <c r="G41" s="57">
        <f t="shared" si="13"/>
        <v>5000000</v>
      </c>
      <c r="H41" s="57">
        <f t="shared" si="13"/>
        <v>5000000</v>
      </c>
      <c r="I41" s="57">
        <f t="shared" si="13"/>
        <v>5000000</v>
      </c>
      <c r="J41" s="57">
        <f t="shared" si="13"/>
        <v>5000000</v>
      </c>
      <c r="K41" s="57">
        <f t="shared" si="13"/>
        <v>5000000</v>
      </c>
    </row>
    <row r="42" spans="1:11">
      <c r="A42" s="29"/>
      <c r="B42" s="59" t="s">
        <v>146</v>
      </c>
      <c r="C42" s="12">
        <f>C40/C41</f>
        <v>0.78419354838709665</v>
      </c>
      <c r="D42" s="12">
        <f t="shared" ref="D42:G42" si="14">D40/D41</f>
        <v>0.76918160919540224</v>
      </c>
      <c r="E42" s="12">
        <f t="shared" si="14"/>
        <v>0.77001363636363629</v>
      </c>
      <c r="F42" s="12">
        <f t="shared" si="14"/>
        <v>0.79236266773162922</v>
      </c>
      <c r="G42" s="12">
        <f t="shared" si="14"/>
        <v>1.6439080749999999</v>
      </c>
      <c r="H42" s="57">
        <v>0</v>
      </c>
      <c r="I42" s="57">
        <v>0</v>
      </c>
      <c r="J42" s="57">
        <v>0</v>
      </c>
      <c r="K42" s="57">
        <v>0</v>
      </c>
    </row>
    <row r="43" spans="1:11">
      <c r="A43" s="29"/>
      <c r="B43" s="59"/>
      <c r="C43" s="12"/>
      <c r="D43" s="12"/>
      <c r="E43" s="13"/>
      <c r="F43" s="13">
        <f>AVERAGE(C42:K42)</f>
        <v>0.52885105963086276</v>
      </c>
      <c r="G43" s="13"/>
      <c r="H43" s="13"/>
      <c r="I43" s="13"/>
      <c r="J43" s="13"/>
      <c r="K43" s="13"/>
    </row>
    <row r="44" spans="1:11">
      <c r="A44" s="29"/>
      <c r="B44" s="30"/>
      <c r="C44" s="12"/>
      <c r="D44" s="12"/>
      <c r="E44" s="13"/>
      <c r="F44" s="13"/>
      <c r="G44" s="13"/>
      <c r="H44" s="13"/>
      <c r="I44" s="61"/>
      <c r="J44" s="61"/>
      <c r="K44" s="61"/>
    </row>
    <row r="45" spans="1:11" s="5" customFormat="1">
      <c r="A45" s="117"/>
      <c r="B45" s="118" t="s">
        <v>143</v>
      </c>
      <c r="C45" s="119"/>
      <c r="D45" s="119"/>
      <c r="E45" s="120"/>
      <c r="F45" s="120"/>
      <c r="G45" s="120"/>
      <c r="H45" s="120"/>
      <c r="I45" s="121"/>
      <c r="J45" s="121"/>
      <c r="K45" s="121"/>
    </row>
    <row r="46" spans="1:11">
      <c r="A46" s="29"/>
      <c r="B46" s="30" t="s">
        <v>144</v>
      </c>
      <c r="C46" s="60">
        <f>'Ann 4'!C29</f>
        <v>1406201.923076923</v>
      </c>
      <c r="D46" s="60">
        <f>'Ann 4'!D29</f>
        <v>1291826.923076923</v>
      </c>
      <c r="E46" s="60">
        <f>'Ann 4'!E29</f>
        <v>1151057.6923076925</v>
      </c>
      <c r="F46" s="60">
        <f>'Ann 4'!F29</f>
        <v>1010288.4615384617</v>
      </c>
      <c r="G46" s="60">
        <f>'Ann 4'!G29</f>
        <v>702355.76923076937</v>
      </c>
      <c r="H46" s="60">
        <f>'Ann 4'!H29</f>
        <v>500000</v>
      </c>
      <c r="I46" s="60">
        <f>'Ann 4'!I29</f>
        <v>500000</v>
      </c>
      <c r="J46" s="60">
        <f>'Ann 4'!J29</f>
        <v>500000</v>
      </c>
      <c r="K46" s="60">
        <f>'Ann 4'!K29</f>
        <v>500000</v>
      </c>
    </row>
    <row r="47" spans="1:11">
      <c r="A47" s="29"/>
      <c r="B47" s="30" t="s">
        <v>147</v>
      </c>
      <c r="C47" s="60">
        <f>(SUM('Ann 13'!D10:D13)*100000)+('Ann 1'!$C$25*100000)</f>
        <v>6173076.923076923</v>
      </c>
      <c r="D47" s="60">
        <f>(SUM('Ann 13'!D14:D17)*100000)+('Ann 1'!$C$25*100000)</f>
        <v>7346153.846153846</v>
      </c>
      <c r="E47" s="60">
        <f>(SUM('Ann 13'!D18:D21)*100000)+('Ann 1'!$C$25*100000)</f>
        <v>7346153.846153846</v>
      </c>
      <c r="F47" s="60">
        <f>(SUM('Ann 13'!D22:D25)*100000)+('Ann 1'!$C$25*100000)</f>
        <v>7346153.846153846</v>
      </c>
      <c r="G47" s="60">
        <f>(SUM('Ann 13'!D26:D29)*100000)+('Ann 1'!$C$25*100000)</f>
        <v>5913461.5384615427</v>
      </c>
      <c r="H47" s="60">
        <f>(SUM('Ann 13'!D30:D33)*100000)+('Ann 1'!$C$25*100000)</f>
        <v>5000000</v>
      </c>
      <c r="I47" s="60">
        <f>(SUM('Ann 13'!D34:D37)*100000)+('Ann 1'!$C$25*100000)</f>
        <v>5000000</v>
      </c>
      <c r="J47" s="60">
        <f>(SUM('Ann 13'!D38:D38)*100000)+('Ann 1'!$C$25*100000)</f>
        <v>5000000</v>
      </c>
      <c r="K47" s="60">
        <f>(SUM('Ann 13'!D42:D43)*100000)+('Ann 1'!$C$25*100000)</f>
        <v>5000000</v>
      </c>
    </row>
    <row r="48" spans="1:11">
      <c r="A48" s="29"/>
      <c r="B48" s="30" t="s">
        <v>7</v>
      </c>
      <c r="C48" s="60">
        <f>SUM(C46:C47)</f>
        <v>7579278.846153846</v>
      </c>
      <c r="D48" s="60">
        <f t="shared" ref="D48:K48" si="15">SUM(D46:D47)</f>
        <v>8637980.7692307681</v>
      </c>
      <c r="E48" s="63">
        <f t="shared" si="15"/>
        <v>8497211.538461538</v>
      </c>
      <c r="F48" s="63">
        <f t="shared" si="15"/>
        <v>8356442.307692308</v>
      </c>
      <c r="G48" s="63">
        <f t="shared" si="15"/>
        <v>6615817.3076923117</v>
      </c>
      <c r="H48" s="63">
        <f t="shared" si="15"/>
        <v>5500000</v>
      </c>
      <c r="I48" s="63">
        <f t="shared" si="15"/>
        <v>5500000</v>
      </c>
      <c r="J48" s="63">
        <f t="shared" si="15"/>
        <v>5500000</v>
      </c>
      <c r="K48" s="63">
        <f t="shared" si="15"/>
        <v>5500000</v>
      </c>
    </row>
    <row r="49" spans="1:11">
      <c r="A49" s="29"/>
      <c r="B49" s="30" t="s">
        <v>145</v>
      </c>
      <c r="C49" s="60">
        <f>'Ann 4'!C24</f>
        <v>9562972</v>
      </c>
      <c r="D49" s="60">
        <f>'Ann 4'!D24</f>
        <v>14410376.450000003</v>
      </c>
      <c r="E49" s="63">
        <f>'Ann 4'!E24</f>
        <v>15763905.100000009</v>
      </c>
      <c r="F49" s="63">
        <f>'Ann 4'!F24</f>
        <v>17100037.350000009</v>
      </c>
      <c r="G49" s="63">
        <f>'Ann 4'!G24</f>
        <v>18417903.38000001</v>
      </c>
      <c r="H49" s="63">
        <f>'Ann 4'!H24</f>
        <v>17742413.878999978</v>
      </c>
      <c r="I49" s="63">
        <f>'Ann 4'!I24</f>
        <v>18904833.87045002</v>
      </c>
      <c r="J49" s="63">
        <f>'Ann 4'!J24</f>
        <v>20046108.428972512</v>
      </c>
      <c r="K49" s="63">
        <f>'Ann 4'!K24</f>
        <v>21165180.282921135</v>
      </c>
    </row>
    <row r="50" spans="1:11">
      <c r="A50" s="65"/>
      <c r="B50" s="66" t="s">
        <v>146</v>
      </c>
      <c r="C50" s="67">
        <f>C49/C48</f>
        <v>1.2617258441220687</v>
      </c>
      <c r="D50" s="67">
        <f t="shared" ref="D50:H50" si="16">D49/D48</f>
        <v>1.6682575285801753</v>
      </c>
      <c r="E50" s="68">
        <f t="shared" si="16"/>
        <v>1.8551856722227891</v>
      </c>
      <c r="F50" s="68">
        <f t="shared" si="16"/>
        <v>2.0463298519106643</v>
      </c>
      <c r="G50" s="68">
        <f t="shared" si="16"/>
        <v>2.7839195859573138</v>
      </c>
      <c r="H50" s="68">
        <f t="shared" si="16"/>
        <v>3.2258934325454507</v>
      </c>
      <c r="I50" s="69">
        <v>0</v>
      </c>
      <c r="J50" s="69">
        <v>0</v>
      </c>
      <c r="K50" s="69">
        <v>0</v>
      </c>
    </row>
    <row r="51" spans="1:11">
      <c r="A51" s="30"/>
      <c r="B51" s="59" t="s">
        <v>150</v>
      </c>
      <c r="C51" s="30"/>
      <c r="D51" s="30"/>
      <c r="E51" s="30"/>
      <c r="F51" s="30">
        <f>AVERAGE(C50:G50)</f>
        <v>1.9230836965586022</v>
      </c>
      <c r="G51" s="30"/>
      <c r="H51" s="30"/>
      <c r="I51" s="30"/>
      <c r="J51" s="30"/>
      <c r="K51" s="30"/>
    </row>
    <row r="52" spans="1:11">
      <c r="I52" s="52"/>
      <c r="J52" s="52"/>
      <c r="K52" s="52"/>
    </row>
    <row r="54" spans="1:11">
      <c r="A54" s="6" t="s">
        <v>266</v>
      </c>
    </row>
    <row r="55" spans="1:11">
      <c r="A55" s="6" t="s">
        <v>277</v>
      </c>
    </row>
  </sheetData>
  <mergeCells count="3">
    <mergeCell ref="A5:A6"/>
    <mergeCell ref="B5:B6"/>
    <mergeCell ref="C5:K5"/>
  </mergeCells>
  <pageMargins left="0.7" right="0.7" top="0.75" bottom="0.75" header="0.3" footer="0.3"/>
  <pageSetup scale="54"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FAA480-223F-4A3F-891A-2F2B726FC76B}">
  <dimension ref="A1:C17"/>
  <sheetViews>
    <sheetView workbookViewId="0">
      <selection activeCell="B18" sqref="B18"/>
    </sheetView>
  </sheetViews>
  <sheetFormatPr defaultRowHeight="14.5"/>
  <cols>
    <col min="1" max="1" width="53.453125" bestFit="1" customWidth="1"/>
    <col min="2" max="2" width="13.6328125" bestFit="1" customWidth="1"/>
    <col min="3" max="3" width="11.1796875" bestFit="1" customWidth="1"/>
    <col min="4" max="4" width="12.54296875" bestFit="1" customWidth="1"/>
  </cols>
  <sheetData>
    <row r="1" spans="1:3">
      <c r="A1" s="2" t="s">
        <v>220</v>
      </c>
    </row>
    <row r="3" spans="1:3">
      <c r="A3" s="1" t="s">
        <v>223</v>
      </c>
    </row>
    <row r="5" spans="1:3">
      <c r="A5" s="2" t="s">
        <v>221</v>
      </c>
    </row>
    <row r="6" spans="1:3">
      <c r="A6" s="3" t="s">
        <v>229</v>
      </c>
    </row>
    <row r="7" spans="1:3">
      <c r="A7" t="s">
        <v>222</v>
      </c>
      <c r="B7">
        <v>5</v>
      </c>
      <c r="C7" t="s">
        <v>226</v>
      </c>
    </row>
    <row r="8" spans="1:3">
      <c r="A8" t="s">
        <v>224</v>
      </c>
      <c r="B8">
        <v>30</v>
      </c>
      <c r="C8" t="s">
        <v>227</v>
      </c>
    </row>
    <row r="9" spans="1:3">
      <c r="A9" t="s">
        <v>225</v>
      </c>
      <c r="B9">
        <f>B8*3000*20/B7</f>
        <v>360000</v>
      </c>
      <c r="C9" t="s">
        <v>228</v>
      </c>
    </row>
    <row r="11" spans="1:3">
      <c r="A11" s="3" t="s">
        <v>230</v>
      </c>
    </row>
    <row r="12" spans="1:3">
      <c r="A12" s="3" t="s">
        <v>222</v>
      </c>
      <c r="B12">
        <v>0.5</v>
      </c>
      <c r="C12" t="s">
        <v>231</v>
      </c>
    </row>
    <row r="13" spans="1:3">
      <c r="A13" s="3" t="s">
        <v>232</v>
      </c>
      <c r="B13">
        <f>B12*3000*30</f>
        <v>45000</v>
      </c>
      <c r="C13" t="s">
        <v>233</v>
      </c>
    </row>
    <row r="15" spans="1:3">
      <c r="A15" t="s">
        <v>234</v>
      </c>
      <c r="B15">
        <f>B13+B9</f>
        <v>405000</v>
      </c>
    </row>
    <row r="16" spans="1:3">
      <c r="A16" t="s">
        <v>235</v>
      </c>
      <c r="B16">
        <v>75</v>
      </c>
    </row>
    <row r="17" spans="1:2">
      <c r="A17" t="s">
        <v>236</v>
      </c>
      <c r="B17" s="4">
        <f>B15*B16</f>
        <v>30375000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F1FBF-6FFA-405B-9A95-302F8FAA33B6}">
  <dimension ref="A1:E18"/>
  <sheetViews>
    <sheetView workbookViewId="0">
      <selection activeCell="E17" sqref="E17"/>
    </sheetView>
  </sheetViews>
  <sheetFormatPr defaultRowHeight="14"/>
  <cols>
    <col min="1" max="1" width="5.6328125" style="6" bestFit="1" customWidth="1"/>
    <col min="2" max="2" width="26.08984375" style="6" bestFit="1" customWidth="1"/>
    <col min="3" max="3" width="8.7265625" style="6"/>
    <col min="4" max="4" width="25" style="6" bestFit="1" customWidth="1"/>
    <col min="5" max="5" width="12.54296875" style="6" bestFit="1" customWidth="1"/>
    <col min="6" max="16384" width="8.7265625" style="6"/>
  </cols>
  <sheetData>
    <row r="1" spans="1:5">
      <c r="A1" s="5" t="s">
        <v>154</v>
      </c>
    </row>
    <row r="3" spans="1:5">
      <c r="A3" s="70" t="s">
        <v>155</v>
      </c>
    </row>
    <row r="5" spans="1:5">
      <c r="A5" s="27" t="s">
        <v>51</v>
      </c>
      <c r="B5" s="27" t="s">
        <v>52</v>
      </c>
      <c r="C5" s="27" t="s">
        <v>53</v>
      </c>
      <c r="D5" s="27" t="s">
        <v>54</v>
      </c>
      <c r="E5" s="27" t="s">
        <v>217</v>
      </c>
    </row>
    <row r="6" spans="1:5">
      <c r="A6" s="71" t="s">
        <v>55</v>
      </c>
      <c r="B6" s="7" t="s">
        <v>249</v>
      </c>
      <c r="C6" s="7">
        <v>1</v>
      </c>
      <c r="D6" s="72">
        <v>31000</v>
      </c>
      <c r="E6" s="72">
        <f>D6*C6*12</f>
        <v>372000</v>
      </c>
    </row>
    <row r="7" spans="1:5">
      <c r="A7" s="7" t="s">
        <v>56</v>
      </c>
      <c r="B7" s="7" t="s">
        <v>315</v>
      </c>
      <c r="C7" s="7">
        <v>1</v>
      </c>
      <c r="D7" s="72">
        <v>30000</v>
      </c>
      <c r="E7" s="72">
        <f>D7*C7*12</f>
        <v>360000</v>
      </c>
    </row>
    <row r="8" spans="1:5">
      <c r="A8" s="7" t="s">
        <v>59</v>
      </c>
      <c r="B8" s="7" t="s">
        <v>313</v>
      </c>
      <c r="C8" s="7">
        <v>7</v>
      </c>
      <c r="D8" s="72">
        <v>16000</v>
      </c>
      <c r="E8" s="72">
        <f>D8*C8*12</f>
        <v>1344000</v>
      </c>
    </row>
    <row r="9" spans="1:5">
      <c r="A9" s="7" t="s">
        <v>303</v>
      </c>
      <c r="B9" s="7" t="s">
        <v>250</v>
      </c>
      <c r="C9" s="7">
        <v>12</v>
      </c>
      <c r="D9" s="72">
        <v>12500</v>
      </c>
      <c r="E9" s="72">
        <f>D9*C9*12</f>
        <v>1800000</v>
      </c>
    </row>
    <row r="10" spans="1:5">
      <c r="A10" s="7" t="s">
        <v>314</v>
      </c>
      <c r="B10" s="7" t="s">
        <v>304</v>
      </c>
      <c r="C10" s="7">
        <v>4</v>
      </c>
      <c r="D10" s="72">
        <v>10000</v>
      </c>
      <c r="E10" s="72">
        <f>D10*C10*12</f>
        <v>480000</v>
      </c>
    </row>
    <row r="11" spans="1:5">
      <c r="A11" s="132" t="s">
        <v>7</v>
      </c>
      <c r="B11" s="132"/>
      <c r="C11" s="132"/>
      <c r="D11" s="132"/>
      <c r="E11" s="73">
        <f>SUM(E6:E10)</f>
        <v>4356000</v>
      </c>
    </row>
    <row r="12" spans="1:5">
      <c r="A12" s="37"/>
      <c r="B12" s="74"/>
      <c r="C12" s="74"/>
      <c r="D12" s="74"/>
      <c r="E12" s="56"/>
    </row>
    <row r="13" spans="1:5">
      <c r="A13" s="65" t="s">
        <v>305</v>
      </c>
      <c r="B13" s="66"/>
      <c r="C13" s="66"/>
      <c r="D13" s="66"/>
      <c r="E13" s="75">
        <f>E11*20%</f>
        <v>871200</v>
      </c>
    </row>
    <row r="14" spans="1:5">
      <c r="A14" s="33" t="s">
        <v>7</v>
      </c>
      <c r="B14" s="34"/>
      <c r="C14" s="34"/>
      <c r="D14" s="34"/>
      <c r="E14" s="76">
        <f>SUM(E11:E13)</f>
        <v>5227200</v>
      </c>
    </row>
    <row r="16" spans="1:5">
      <c r="A16" s="6" t="s">
        <v>57</v>
      </c>
      <c r="E16" s="52">
        <f>E14</f>
        <v>5227200</v>
      </c>
    </row>
    <row r="17" spans="1:5">
      <c r="A17" s="6" t="s">
        <v>58</v>
      </c>
      <c r="E17" s="77">
        <v>0.05</v>
      </c>
    </row>
    <row r="18" spans="1:5">
      <c r="A18" s="6" t="s">
        <v>157</v>
      </c>
      <c r="E18" s="6">
        <f>SUM(C6:C10)</f>
        <v>25</v>
      </c>
    </row>
  </sheetData>
  <mergeCells count="1">
    <mergeCell ref="A11:D11"/>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4D6B57-BA66-499F-8B17-ED356988118B}">
  <dimension ref="A1:F22"/>
  <sheetViews>
    <sheetView workbookViewId="0">
      <selection activeCell="C12" sqref="C12"/>
    </sheetView>
  </sheetViews>
  <sheetFormatPr defaultRowHeight="14"/>
  <cols>
    <col min="1" max="1" width="6.36328125" style="6" bestFit="1" customWidth="1"/>
    <col min="2" max="2" width="18.81640625" style="6" bestFit="1" customWidth="1"/>
    <col min="3" max="3" width="19.453125" style="6" bestFit="1" customWidth="1"/>
    <col min="4" max="4" width="18.08984375" style="6" bestFit="1" customWidth="1"/>
    <col min="5" max="5" width="14.453125" style="6" bestFit="1" customWidth="1"/>
    <col min="6" max="6" width="26.453125" style="6" bestFit="1" customWidth="1"/>
    <col min="7" max="16384" width="8.7265625" style="6"/>
  </cols>
  <sheetData>
    <row r="1" spans="1:6">
      <c r="A1" s="5" t="s">
        <v>61</v>
      </c>
    </row>
    <row r="3" spans="1:6">
      <c r="A3" s="70" t="s">
        <v>60</v>
      </c>
    </row>
    <row r="5" spans="1:6">
      <c r="A5" s="27" t="s">
        <v>23</v>
      </c>
      <c r="B5" s="27" t="s">
        <v>3</v>
      </c>
      <c r="C5" s="27" t="s">
        <v>64</v>
      </c>
      <c r="D5" s="27" t="s">
        <v>10</v>
      </c>
      <c r="E5" s="27" t="s">
        <v>65</v>
      </c>
      <c r="F5" s="27" t="s">
        <v>66</v>
      </c>
    </row>
    <row r="6" spans="1:6">
      <c r="A6" s="7" t="s">
        <v>55</v>
      </c>
      <c r="B6" s="7" t="s">
        <v>12</v>
      </c>
      <c r="C6" s="72">
        <f>'Ann 1'!C15*100000</f>
        <v>3200000</v>
      </c>
      <c r="D6" s="72">
        <f>('Ann 1'!C20+'Ann 1'!C37)*100000</f>
        <v>14000000</v>
      </c>
      <c r="E6" s="72">
        <f>'Ann 3'!E19</f>
        <v>200000</v>
      </c>
      <c r="F6" s="78">
        <f>SUM(C6:E6)/100000</f>
        <v>174</v>
      </c>
    </row>
    <row r="7" spans="1:6">
      <c r="A7" s="7" t="s">
        <v>56</v>
      </c>
      <c r="B7" s="7" t="s">
        <v>62</v>
      </c>
      <c r="C7" s="72">
        <v>0</v>
      </c>
      <c r="D7" s="72">
        <v>0</v>
      </c>
      <c r="E7" s="72">
        <v>0</v>
      </c>
      <c r="F7" s="79">
        <f>SUM(C7:E7)/100000</f>
        <v>0</v>
      </c>
    </row>
    <row r="8" spans="1:6">
      <c r="A8" s="7" t="s">
        <v>59</v>
      </c>
      <c r="B8" s="7" t="s">
        <v>63</v>
      </c>
      <c r="C8" s="72">
        <v>0</v>
      </c>
      <c r="D8" s="72">
        <v>0</v>
      </c>
      <c r="E8" s="72">
        <f>'Ann 1'!C39*100000</f>
        <v>0</v>
      </c>
      <c r="F8" s="79">
        <f>SUM(C8:E8)/100000</f>
        <v>0</v>
      </c>
    </row>
    <row r="9" spans="1:6">
      <c r="A9" s="7"/>
      <c r="B9" s="132" t="s">
        <v>7</v>
      </c>
      <c r="C9" s="132"/>
      <c r="D9" s="132"/>
      <c r="E9" s="132"/>
      <c r="F9" s="78">
        <f>SUM(F6:F8)</f>
        <v>174</v>
      </c>
    </row>
    <row r="11" spans="1:6" s="5" customFormat="1">
      <c r="A11" s="115"/>
      <c r="B11" s="115" t="s">
        <v>67</v>
      </c>
      <c r="C11" s="116">
        <v>0.1</v>
      </c>
      <c r="D11" s="116">
        <v>0.15</v>
      </c>
      <c r="E11" s="116">
        <v>0.1</v>
      </c>
      <c r="F11" s="115" t="s">
        <v>172</v>
      </c>
    </row>
    <row r="12" spans="1:6">
      <c r="A12" s="80" t="s">
        <v>68</v>
      </c>
      <c r="B12" s="81">
        <v>1</v>
      </c>
      <c r="C12" s="82">
        <f>C11*C6</f>
        <v>320000</v>
      </c>
      <c r="D12" s="82">
        <f>D11*D6</f>
        <v>2100000</v>
      </c>
      <c r="E12" s="82">
        <f>E11*(E6+E8)</f>
        <v>20000</v>
      </c>
      <c r="F12" s="82">
        <f>SUM(C12:E12)</f>
        <v>2440000</v>
      </c>
    </row>
    <row r="13" spans="1:6">
      <c r="A13" s="80" t="s">
        <v>68</v>
      </c>
      <c r="B13" s="81">
        <v>2</v>
      </c>
      <c r="C13" s="82">
        <f>(C6-C12)*C11</f>
        <v>288000</v>
      </c>
      <c r="D13" s="82">
        <f>(D6-D12)*D11</f>
        <v>1785000</v>
      </c>
      <c r="E13" s="82">
        <f>(E6+E8-E12)*E11</f>
        <v>18000</v>
      </c>
      <c r="F13" s="82">
        <f>SUM(C13:E13)</f>
        <v>2091000</v>
      </c>
    </row>
    <row r="14" spans="1:6">
      <c r="A14" s="80" t="s">
        <v>68</v>
      </c>
      <c r="B14" s="81">
        <v>3</v>
      </c>
      <c r="C14" s="82">
        <f>(C6-C12-C13)*C11</f>
        <v>259200</v>
      </c>
      <c r="D14" s="82">
        <f>(D6-D12-D13)*D11</f>
        <v>1517250</v>
      </c>
      <c r="E14" s="82">
        <f>(E6+E8-E12-E13)*E11</f>
        <v>16200</v>
      </c>
      <c r="F14" s="82">
        <f t="shared" ref="F14:F20" si="0">SUM(C14:E14)</f>
        <v>1792650</v>
      </c>
    </row>
    <row r="15" spans="1:6">
      <c r="A15" s="80" t="s">
        <v>68</v>
      </c>
      <c r="B15" s="81">
        <v>4</v>
      </c>
      <c r="C15" s="82">
        <f>(C6-C12-C13-C14)*C11</f>
        <v>233280</v>
      </c>
      <c r="D15" s="82">
        <f>(D6-D12-D13-D14)*D11</f>
        <v>1289662.5</v>
      </c>
      <c r="E15" s="82">
        <f>(E6+E8-E12-E13-E14)*E11</f>
        <v>14580</v>
      </c>
      <c r="F15" s="82">
        <f t="shared" si="0"/>
        <v>1537522.5</v>
      </c>
    </row>
    <row r="16" spans="1:6">
      <c r="A16" s="80" t="s">
        <v>68</v>
      </c>
      <c r="B16" s="81">
        <v>5</v>
      </c>
      <c r="C16" s="82">
        <f>(C6-C12-C13-C14-C15)*C11</f>
        <v>209952</v>
      </c>
      <c r="D16" s="82">
        <f>(D6-D12-D13-D14-D15)*D11</f>
        <v>1096213.125</v>
      </c>
      <c r="E16" s="82">
        <f>(E6+E8-E12-E13-E14-E15)*E11</f>
        <v>13122</v>
      </c>
      <c r="F16" s="82">
        <f t="shared" si="0"/>
        <v>1319287.125</v>
      </c>
    </row>
    <row r="17" spans="1:6">
      <c r="A17" s="80" t="s">
        <v>68</v>
      </c>
      <c r="B17" s="81">
        <v>6</v>
      </c>
      <c r="C17" s="82">
        <f>(C6-C12-C13-C14-C15-C16)*C11</f>
        <v>188956.80000000002</v>
      </c>
      <c r="D17" s="82">
        <f>(D6-D12-D13-D14-D15-D16)*D11</f>
        <v>931781.15625</v>
      </c>
      <c r="E17" s="82">
        <f>(E6+E8-E12-E13-E14-E15-E16)*E11</f>
        <v>11809.800000000001</v>
      </c>
      <c r="F17" s="82">
        <f t="shared" si="0"/>
        <v>1132547.7562500001</v>
      </c>
    </row>
    <row r="18" spans="1:6">
      <c r="A18" s="80" t="s">
        <v>68</v>
      </c>
      <c r="B18" s="81">
        <v>7</v>
      </c>
      <c r="C18" s="82">
        <f>(C6-C12-C13-C14-C15-C16-C17)*C11</f>
        <v>170061.12</v>
      </c>
      <c r="D18" s="82">
        <f>(D6-D12-D13-D14-D15-D16-D17)*D11</f>
        <v>792013.98281249998</v>
      </c>
      <c r="E18" s="82">
        <f>(E6+E8-E12-E13-E14-E15-E16-E17)*E11</f>
        <v>10628.82</v>
      </c>
      <c r="F18" s="82">
        <f t="shared" si="0"/>
        <v>972703.92281249992</v>
      </c>
    </row>
    <row r="19" spans="1:6">
      <c r="A19" s="80" t="s">
        <v>68</v>
      </c>
      <c r="B19" s="81">
        <v>8</v>
      </c>
      <c r="C19" s="82">
        <f>(C6-C12-C13-C14-C15-C16-C17-C18)*C11</f>
        <v>153055.008</v>
      </c>
      <c r="D19" s="82">
        <f>(D6-D12-D13-D14-D15-D16-D17-D18)*D11</f>
        <v>673211.88539062499</v>
      </c>
      <c r="E19" s="82">
        <f>(E6+E8-E12-E13-E14-E15-E16-E17-E18)*E11</f>
        <v>9565.9380000000001</v>
      </c>
      <c r="F19" s="82">
        <f t="shared" si="0"/>
        <v>835832.83139062498</v>
      </c>
    </row>
    <row r="20" spans="1:6">
      <c r="A20" s="80" t="s">
        <v>68</v>
      </c>
      <c r="B20" s="81">
        <v>9</v>
      </c>
      <c r="C20" s="82">
        <f>(C6-C12-C13-C14-C15-C16-C17-C18-C19)*C11</f>
        <v>137749.50720000002</v>
      </c>
      <c r="D20" s="82">
        <f>(D6-D12-D13-D14-D15-D16-D17-D18-D19)*D11</f>
        <v>572230.10258203128</v>
      </c>
      <c r="E20" s="82">
        <f>(E6+E8-E12-E13-E14-E15-E16-E17-E18-E19)*E11</f>
        <v>8609.3442000000014</v>
      </c>
      <c r="F20" s="82">
        <f t="shared" si="0"/>
        <v>718588.95398203132</v>
      </c>
    </row>
    <row r="21" spans="1:6">
      <c r="B21" s="23"/>
    </row>
    <row r="22" spans="1:6">
      <c r="A22" s="83"/>
    </row>
  </sheetData>
  <mergeCells count="1">
    <mergeCell ref="B9:E9"/>
  </mergeCells>
  <pageMargins left="0.7" right="0.7" top="0.75" bottom="0.75" header="0.3" footer="0.3"/>
  <pageSetup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A6521A-756D-4D90-8C99-73BDFD6A7811}">
  <sheetPr>
    <pageSetUpPr fitToPage="1"/>
  </sheetPr>
  <dimension ref="A1:J14"/>
  <sheetViews>
    <sheetView workbookViewId="0"/>
  </sheetViews>
  <sheetFormatPr defaultRowHeight="14"/>
  <cols>
    <col min="1" max="1" width="20.90625" style="6" customWidth="1"/>
    <col min="2" max="10" width="13.6328125" style="6" bestFit="1" customWidth="1"/>
    <col min="11" max="16384" width="8.7265625" style="6"/>
  </cols>
  <sheetData>
    <row r="1" spans="1:10">
      <c r="A1" s="5" t="s">
        <v>104</v>
      </c>
    </row>
    <row r="3" spans="1:10">
      <c r="A3" s="70" t="s">
        <v>105</v>
      </c>
    </row>
    <row r="5" spans="1:10">
      <c r="A5" s="131" t="s">
        <v>3</v>
      </c>
      <c r="B5" s="131" t="s">
        <v>47</v>
      </c>
      <c r="C5" s="131"/>
      <c r="D5" s="131"/>
      <c r="E5" s="131"/>
      <c r="F5" s="131"/>
      <c r="G5" s="131"/>
      <c r="H5" s="131"/>
      <c r="I5" s="131"/>
      <c r="J5" s="131"/>
    </row>
    <row r="6" spans="1:10">
      <c r="A6" s="131"/>
      <c r="B6" s="27" t="s">
        <v>38</v>
      </c>
      <c r="C6" s="27" t="s">
        <v>39</v>
      </c>
      <c r="D6" s="27" t="s">
        <v>40</v>
      </c>
      <c r="E6" s="27" t="s">
        <v>41</v>
      </c>
      <c r="F6" s="27" t="s">
        <v>42</v>
      </c>
      <c r="G6" s="27" t="s">
        <v>43</v>
      </c>
      <c r="H6" s="27" t="s">
        <v>44</v>
      </c>
      <c r="I6" s="27" t="s">
        <v>45</v>
      </c>
      <c r="J6" s="27" t="s">
        <v>46</v>
      </c>
    </row>
    <row r="7" spans="1:10">
      <c r="A7" s="7" t="s">
        <v>106</v>
      </c>
      <c r="B7" s="72">
        <f>'Ann 4'!C31</f>
        <v>8156770.076923077</v>
      </c>
      <c r="C7" s="72">
        <f>'Ann 4'!D31</f>
        <v>13118549.526923079</v>
      </c>
      <c r="D7" s="72">
        <f>'Ann 4'!E31</f>
        <v>14612847.407692317</v>
      </c>
      <c r="E7" s="72">
        <f>'Ann 4'!F31</f>
        <v>16089748.888461547</v>
      </c>
      <c r="F7" s="72">
        <f>'Ann 4'!G31</f>
        <v>17715547.610769242</v>
      </c>
      <c r="G7" s="72">
        <f>'Ann 4'!H31</f>
        <v>17242413.878999978</v>
      </c>
      <c r="H7" s="72">
        <f>'Ann 4'!I31</f>
        <v>18404833.87045002</v>
      </c>
      <c r="I7" s="72">
        <f>'Ann 4'!J31</f>
        <v>19546108.428972512</v>
      </c>
      <c r="J7" s="72">
        <f>'Ann 4'!K31</f>
        <v>20665180.282921135</v>
      </c>
    </row>
    <row r="8" spans="1:10">
      <c r="A8" s="7" t="s">
        <v>107</v>
      </c>
      <c r="B8" s="72">
        <v>0</v>
      </c>
      <c r="C8" s="72">
        <v>0</v>
      </c>
      <c r="D8" s="72">
        <v>0</v>
      </c>
      <c r="E8" s="72">
        <v>0</v>
      </c>
      <c r="F8" s="72">
        <v>0</v>
      </c>
      <c r="G8" s="72">
        <v>0</v>
      </c>
      <c r="H8" s="72">
        <v>0</v>
      </c>
      <c r="I8" s="72">
        <v>0</v>
      </c>
      <c r="J8" s="72">
        <v>0</v>
      </c>
    </row>
    <row r="9" spans="1:10">
      <c r="A9" s="7" t="s">
        <v>108</v>
      </c>
      <c r="B9" s="72">
        <f>B7+B8</f>
        <v>8156770.076923077</v>
      </c>
      <c r="C9" s="72">
        <f t="shared" ref="C9:J9" si="0">C7+C8</f>
        <v>13118549.526923079</v>
      </c>
      <c r="D9" s="72">
        <f t="shared" si="0"/>
        <v>14612847.407692317</v>
      </c>
      <c r="E9" s="72">
        <f t="shared" si="0"/>
        <v>16089748.888461547</v>
      </c>
      <c r="F9" s="72">
        <f t="shared" si="0"/>
        <v>17715547.610769242</v>
      </c>
      <c r="G9" s="72">
        <f t="shared" si="0"/>
        <v>17242413.878999978</v>
      </c>
      <c r="H9" s="72">
        <f t="shared" si="0"/>
        <v>18404833.87045002</v>
      </c>
      <c r="I9" s="72">
        <f t="shared" si="0"/>
        <v>19546108.428972512</v>
      </c>
      <c r="J9" s="72">
        <f t="shared" si="0"/>
        <v>20665180.282921135</v>
      </c>
    </row>
    <row r="10" spans="1:10">
      <c r="A10" s="7" t="s">
        <v>109</v>
      </c>
      <c r="B10" s="72">
        <f>SUM('Ann 9'!C12:E12)</f>
        <v>2440000</v>
      </c>
      <c r="C10" s="72">
        <f>SUM('Ann 9'!C13:E13)</f>
        <v>2091000</v>
      </c>
      <c r="D10" s="72">
        <f>SUM('Ann 9'!C14:E14)</f>
        <v>1792650</v>
      </c>
      <c r="E10" s="72">
        <f>SUM('Ann 9'!C15:E15)</f>
        <v>1537522.5</v>
      </c>
      <c r="F10" s="72">
        <f>SUM('Ann 9'!C16:E16)</f>
        <v>1319287.125</v>
      </c>
      <c r="G10" s="72">
        <f>SUM('Ann 9'!C17:E17)</f>
        <v>1132547.7562500001</v>
      </c>
      <c r="H10" s="72">
        <f>SUM('Ann 9'!C18:E18)</f>
        <v>972703.92281249992</v>
      </c>
      <c r="I10" s="72">
        <f>SUM('Ann 9'!C19:E19)</f>
        <v>835832.83139062498</v>
      </c>
      <c r="J10" s="72">
        <f>SUM('Ann 9'!C20:E20)</f>
        <v>718588.95398203132</v>
      </c>
    </row>
    <row r="11" spans="1:10">
      <c r="A11" s="7" t="s">
        <v>108</v>
      </c>
      <c r="B11" s="72">
        <f>B9-B10</f>
        <v>5716770.076923077</v>
      </c>
      <c r="C11" s="72">
        <f t="shared" ref="C11:J11" si="1">C9-C10</f>
        <v>11027549.526923079</v>
      </c>
      <c r="D11" s="72">
        <f t="shared" si="1"/>
        <v>12820197.407692317</v>
      </c>
      <c r="E11" s="72">
        <f t="shared" si="1"/>
        <v>14552226.388461547</v>
      </c>
      <c r="F11" s="72">
        <f t="shared" si="1"/>
        <v>16396260.485769242</v>
      </c>
      <c r="G11" s="72">
        <f t="shared" si="1"/>
        <v>16109866.122749979</v>
      </c>
      <c r="H11" s="72">
        <f t="shared" si="1"/>
        <v>17432129.947637521</v>
      </c>
      <c r="I11" s="72">
        <f t="shared" si="1"/>
        <v>18710275.597581886</v>
      </c>
      <c r="J11" s="72">
        <f t="shared" si="1"/>
        <v>19946591.328939103</v>
      </c>
    </row>
    <row r="12" spans="1:10">
      <c r="A12" s="7" t="s">
        <v>110</v>
      </c>
      <c r="B12" s="84">
        <v>0</v>
      </c>
      <c r="C12" s="84">
        <v>0</v>
      </c>
      <c r="D12" s="84">
        <v>0</v>
      </c>
      <c r="E12" s="84">
        <v>0</v>
      </c>
      <c r="F12" s="84">
        <v>0</v>
      </c>
      <c r="G12" s="84">
        <v>0</v>
      </c>
      <c r="H12" s="84">
        <v>0</v>
      </c>
      <c r="I12" s="84">
        <v>0</v>
      </c>
      <c r="J12" s="84">
        <v>0</v>
      </c>
    </row>
    <row r="13" spans="1:10">
      <c r="A13" s="7" t="s">
        <v>111</v>
      </c>
      <c r="B13" s="73">
        <f>B11</f>
        <v>5716770.076923077</v>
      </c>
      <c r="C13" s="73">
        <f t="shared" ref="C13:J13" si="2">C11</f>
        <v>11027549.526923079</v>
      </c>
      <c r="D13" s="73">
        <f t="shared" si="2"/>
        <v>12820197.407692317</v>
      </c>
      <c r="E13" s="73">
        <f t="shared" si="2"/>
        <v>14552226.388461547</v>
      </c>
      <c r="F13" s="73">
        <f t="shared" si="2"/>
        <v>16396260.485769242</v>
      </c>
      <c r="G13" s="73">
        <f t="shared" si="2"/>
        <v>16109866.122749979</v>
      </c>
      <c r="H13" s="73">
        <f t="shared" si="2"/>
        <v>17432129.947637521</v>
      </c>
      <c r="I13" s="73">
        <f t="shared" si="2"/>
        <v>18710275.597581886</v>
      </c>
      <c r="J13" s="73">
        <f t="shared" si="2"/>
        <v>19946591.328939103</v>
      </c>
    </row>
    <row r="14" spans="1:10">
      <c r="A14" s="7" t="s">
        <v>112</v>
      </c>
      <c r="B14" s="73">
        <f>B13*30%</f>
        <v>1715031.0230769231</v>
      </c>
      <c r="C14" s="73">
        <f t="shared" ref="C14:J14" si="3">C13*30%</f>
        <v>3308264.8580769235</v>
      </c>
      <c r="D14" s="73">
        <f t="shared" si="3"/>
        <v>3846059.2223076951</v>
      </c>
      <c r="E14" s="73">
        <f t="shared" si="3"/>
        <v>4365667.9165384639</v>
      </c>
      <c r="F14" s="73">
        <f t="shared" si="3"/>
        <v>4918878.1457307721</v>
      </c>
      <c r="G14" s="73">
        <f t="shared" si="3"/>
        <v>4832959.8368249936</v>
      </c>
      <c r="H14" s="73">
        <f t="shared" si="3"/>
        <v>5229638.9842912564</v>
      </c>
      <c r="I14" s="73">
        <f t="shared" si="3"/>
        <v>5613082.6792745655</v>
      </c>
      <c r="J14" s="73">
        <f t="shared" si="3"/>
        <v>5983977.398681731</v>
      </c>
    </row>
  </sheetData>
  <mergeCells count="2">
    <mergeCell ref="B5:J5"/>
    <mergeCell ref="A5:A6"/>
  </mergeCells>
  <pageMargins left="0.7" right="0.7" top="0.75" bottom="0.75" header="0.3" footer="0.3"/>
  <pageSetup scale="85"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7B239D-A793-4055-957C-367EF6B7112E}">
  <sheetPr>
    <pageSetUpPr fitToPage="1"/>
  </sheetPr>
  <dimension ref="A1:G31"/>
  <sheetViews>
    <sheetView topLeftCell="A18" workbookViewId="0">
      <selection activeCell="E16" sqref="E16"/>
    </sheetView>
  </sheetViews>
  <sheetFormatPr defaultRowHeight="14"/>
  <cols>
    <col min="1" max="1" width="8.7265625" style="6"/>
    <col min="2" max="2" width="26.7265625" style="6" bestFit="1" customWidth="1"/>
    <col min="3" max="3" width="14.6328125" style="6" bestFit="1" customWidth="1"/>
    <col min="4" max="4" width="13.54296875" style="6" bestFit="1" customWidth="1"/>
    <col min="5" max="5" width="13.6328125" style="6" bestFit="1" customWidth="1"/>
    <col min="6" max="14" width="8.7265625" style="6"/>
    <col min="15" max="15" width="13.6328125" style="6" bestFit="1" customWidth="1"/>
    <col min="16" max="16" width="12.54296875" style="6" bestFit="1" customWidth="1"/>
    <col min="17" max="16384" width="8.7265625" style="6"/>
  </cols>
  <sheetData>
    <row r="1" spans="1:7">
      <c r="A1" s="5" t="s">
        <v>69</v>
      </c>
    </row>
    <row r="3" spans="1:7">
      <c r="A3" s="85" t="s">
        <v>70</v>
      </c>
      <c r="B3" s="86"/>
      <c r="C3" s="86"/>
      <c r="D3" s="86"/>
      <c r="E3" s="86"/>
    </row>
    <row r="5" spans="1:7">
      <c r="B5" s="6" t="s">
        <v>49</v>
      </c>
      <c r="E5" s="87">
        <f>'Ann 4'!C23/70%</f>
        <v>106381542.85714287</v>
      </c>
    </row>
    <row r="6" spans="1:7">
      <c r="B6" s="6" t="s">
        <v>71</v>
      </c>
    </row>
    <row r="7" spans="1:7">
      <c r="B7" s="88" t="s">
        <v>72</v>
      </c>
      <c r="D7" s="52">
        <f>E5*10%</f>
        <v>10638154.285714287</v>
      </c>
    </row>
    <row r="8" spans="1:7">
      <c r="B8" s="88" t="s">
        <v>73</v>
      </c>
      <c r="D8" s="52">
        <f>'Ann 2'!C7*100000*10%</f>
        <v>500000</v>
      </c>
      <c r="E8" s="52"/>
    </row>
    <row r="9" spans="1:7">
      <c r="B9" s="88" t="s">
        <v>76</v>
      </c>
      <c r="D9" s="52">
        <f>'Ann 4'!K44</f>
        <v>1654750.0970437503</v>
      </c>
      <c r="E9" s="52">
        <f>SUM(D7:D9)</f>
        <v>12792904.382758038</v>
      </c>
      <c r="G9" s="19"/>
    </row>
    <row r="10" spans="1:7">
      <c r="B10" s="6" t="s">
        <v>74</v>
      </c>
      <c r="E10" s="52">
        <f>E5-E9</f>
        <v>93588638.474384829</v>
      </c>
    </row>
    <row r="11" spans="1:7">
      <c r="B11" s="6" t="s">
        <v>244</v>
      </c>
    </row>
    <row r="12" spans="1:7">
      <c r="B12" s="6" t="s">
        <v>75</v>
      </c>
      <c r="E12" s="52">
        <f>'Ann 8'!E14</f>
        <v>5227200</v>
      </c>
    </row>
    <row r="13" spans="1:7">
      <c r="B13" s="6" t="s">
        <v>77</v>
      </c>
      <c r="E13" s="52">
        <f>'Ann 9'!F12</f>
        <v>2440000</v>
      </c>
    </row>
    <row r="14" spans="1:7">
      <c r="B14" s="6" t="s">
        <v>306</v>
      </c>
      <c r="E14" s="52">
        <f>'Ann 4'!C9</f>
        <v>280000</v>
      </c>
    </row>
    <row r="15" spans="1:7">
      <c r="B15" s="6" t="s">
        <v>242</v>
      </c>
      <c r="E15" s="52">
        <v>250000</v>
      </c>
    </row>
    <row r="16" spans="1:7">
      <c r="B16" s="6" t="s">
        <v>317</v>
      </c>
      <c r="E16" s="52">
        <v>500000</v>
      </c>
    </row>
    <row r="17" spans="1:5">
      <c r="B17" s="6" t="s">
        <v>196</v>
      </c>
      <c r="E17" s="52">
        <f>SUM('Ann 13'!E10:E13)*100000</f>
        <v>906201.92307692312</v>
      </c>
    </row>
    <row r="18" spans="1:5" s="5" customFormat="1">
      <c r="B18" s="5" t="s">
        <v>78</v>
      </c>
      <c r="E18" s="124">
        <f>SUM(E12:E17)</f>
        <v>9603401.9230769239</v>
      </c>
    </row>
    <row r="20" spans="1:5" s="5" customFormat="1">
      <c r="B20" s="10" t="s">
        <v>3</v>
      </c>
      <c r="C20" s="10" t="s">
        <v>245</v>
      </c>
    </row>
    <row r="21" spans="1:5">
      <c r="B21" s="7" t="s">
        <v>79</v>
      </c>
      <c r="C21" s="7">
        <f>Budgets!C18</f>
        <v>21</v>
      </c>
    </row>
    <row r="22" spans="1:5">
      <c r="B22" s="7" t="s">
        <v>273</v>
      </c>
      <c r="C22" s="7"/>
    </row>
    <row r="23" spans="1:5">
      <c r="B23" s="7" t="s">
        <v>282</v>
      </c>
      <c r="C23" s="7">
        <f>Budgets!D18</f>
        <v>18.5</v>
      </c>
    </row>
    <row r="24" spans="1:5">
      <c r="B24" s="7" t="s">
        <v>274</v>
      </c>
      <c r="C24" s="82">
        <f>D9/Budgets!B18</f>
        <v>0.18999151477033965</v>
      </c>
    </row>
    <row r="25" spans="1:5">
      <c r="B25" s="7" t="s">
        <v>275</v>
      </c>
      <c r="C25" s="82">
        <f>D8/Budgets!B14</f>
        <v>5.7407917700009185E-2</v>
      </c>
    </row>
    <row r="26" spans="1:5">
      <c r="B26" s="7" t="s">
        <v>276</v>
      </c>
      <c r="C26" s="7">
        <f>C21-SUM(C23:C25)</f>
        <v>2.252600567529651</v>
      </c>
    </row>
    <row r="27" spans="1:5">
      <c r="B27" s="7" t="s">
        <v>243</v>
      </c>
      <c r="C27" s="84">
        <f>E18/C26</f>
        <v>4263251.133603612</v>
      </c>
    </row>
    <row r="28" spans="1:5">
      <c r="B28" s="7" t="s">
        <v>195</v>
      </c>
      <c r="C28" s="89">
        <f>C27/Budgets!B18</f>
        <v>0.48948874042477403</v>
      </c>
    </row>
    <row r="29" spans="1:5">
      <c r="C29" s="31"/>
    </row>
    <row r="30" spans="1:5" ht="49" customHeight="1">
      <c r="A30" s="133" t="s">
        <v>219</v>
      </c>
      <c r="B30" s="133"/>
      <c r="C30" s="133"/>
      <c r="D30" s="133"/>
      <c r="E30" s="133"/>
    </row>
    <row r="31" spans="1:5" ht="86.5" customHeight="1">
      <c r="A31" s="133" t="s">
        <v>319</v>
      </c>
      <c r="B31" s="133"/>
      <c r="C31" s="133"/>
      <c r="D31" s="133"/>
      <c r="E31" s="133"/>
    </row>
  </sheetData>
  <mergeCells count="2">
    <mergeCell ref="A30:E30"/>
    <mergeCell ref="A31:E31"/>
  </mergeCell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58098D-FBA0-4F7E-BF3C-624224F47C27}">
  <dimension ref="A1:K7"/>
  <sheetViews>
    <sheetView workbookViewId="0">
      <selection activeCell="A8" sqref="A8"/>
    </sheetView>
  </sheetViews>
  <sheetFormatPr defaultRowHeight="14.5"/>
  <sheetData>
    <row r="1" spans="1:11">
      <c r="A1" t="s">
        <v>80</v>
      </c>
    </row>
    <row r="3" spans="1:11">
      <c r="C3" s="134" t="s">
        <v>81</v>
      </c>
      <c r="D3" s="134"/>
      <c r="E3" s="134"/>
      <c r="F3" s="134"/>
      <c r="G3" s="134"/>
      <c r="H3" s="134"/>
      <c r="I3" s="134"/>
      <c r="J3" s="134"/>
      <c r="K3" s="134"/>
    </row>
    <row r="4" spans="1:11">
      <c r="C4">
        <v>1</v>
      </c>
      <c r="D4">
        <v>2</v>
      </c>
      <c r="E4">
        <v>3</v>
      </c>
      <c r="F4">
        <v>4</v>
      </c>
      <c r="G4">
        <v>5</v>
      </c>
      <c r="H4">
        <v>6</v>
      </c>
      <c r="I4">
        <v>7</v>
      </c>
      <c r="J4">
        <v>8</v>
      </c>
      <c r="K4">
        <v>9</v>
      </c>
    </row>
    <row r="5" spans="1:11">
      <c r="A5" t="s">
        <v>82</v>
      </c>
      <c r="C5" t="e">
        <f>'Ann 4'!#REF!</f>
        <v>#REF!</v>
      </c>
      <c r="D5" t="e">
        <f>'Ann 4'!#REF!</f>
        <v>#REF!</v>
      </c>
      <c r="E5" t="e">
        <f>'Ann 4'!#REF!</f>
        <v>#REF!</v>
      </c>
      <c r="F5" t="e">
        <f>'Ann 4'!#REF!</f>
        <v>#REF!</v>
      </c>
      <c r="G5" t="e">
        <f>'Ann 4'!#REF!</f>
        <v>#REF!</v>
      </c>
      <c r="H5" t="e">
        <f>'Ann 4'!#REF!</f>
        <v>#REF!</v>
      </c>
      <c r="I5" t="e">
        <f>'Ann 4'!#REF!</f>
        <v>#REF!</v>
      </c>
      <c r="J5" t="e">
        <f>'Ann 4'!#REF!</f>
        <v>#REF!</v>
      </c>
      <c r="K5" t="e">
        <f>'Ann 4'!#REF!</f>
        <v>#REF!</v>
      </c>
    </row>
    <row r="6" spans="1:11">
      <c r="A6" t="s">
        <v>83</v>
      </c>
      <c r="C6" t="e">
        <f>'Ann 4'!#REF!</f>
        <v>#REF!</v>
      </c>
      <c r="D6" t="e">
        <f>'Ann 4'!#REF!</f>
        <v>#REF!</v>
      </c>
      <c r="E6" t="e">
        <f>'Ann 4'!#REF!</f>
        <v>#REF!</v>
      </c>
      <c r="F6" t="e">
        <f>'Ann 4'!#REF!</f>
        <v>#REF!</v>
      </c>
      <c r="G6" t="e">
        <f>'Ann 4'!#REF!</f>
        <v>#REF!</v>
      </c>
      <c r="H6" t="e">
        <f>'Ann 4'!#REF!</f>
        <v>#REF!</v>
      </c>
      <c r="I6" t="e">
        <f>'Ann 4'!#REF!</f>
        <v>#REF!</v>
      </c>
      <c r="J6" t="e">
        <f>'Ann 4'!#REF!</f>
        <v>#REF!</v>
      </c>
      <c r="K6" t="e">
        <f>'Ann 4'!#REF!</f>
        <v>#REF!</v>
      </c>
    </row>
    <row r="7" spans="1:11">
      <c r="A7" t="s">
        <v>84</v>
      </c>
    </row>
  </sheetData>
  <mergeCells count="1">
    <mergeCell ref="C3:K3"/>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5F0C2-594D-4936-9810-7D289B91BEE1}">
  <sheetPr>
    <pageSetUpPr fitToPage="1"/>
  </sheetPr>
  <dimension ref="A1:G41"/>
  <sheetViews>
    <sheetView topLeftCell="A25" workbookViewId="0">
      <selection activeCell="A41" sqref="A41:E41"/>
    </sheetView>
  </sheetViews>
  <sheetFormatPr defaultRowHeight="14"/>
  <cols>
    <col min="1" max="1" width="4.54296875" style="6" bestFit="1" customWidth="1"/>
    <col min="2" max="2" width="7.36328125" style="6" bestFit="1" customWidth="1"/>
    <col min="3" max="3" width="17.81640625" style="6" bestFit="1" customWidth="1"/>
    <col min="4" max="4" width="17.36328125" style="6" bestFit="1" customWidth="1"/>
    <col min="5" max="5" width="7.26953125" style="6" bestFit="1" customWidth="1"/>
    <col min="6" max="16384" width="8.7265625" style="6"/>
  </cols>
  <sheetData>
    <row r="1" spans="1:7">
      <c r="A1" s="5" t="s">
        <v>90</v>
      </c>
    </row>
    <row r="3" spans="1:7">
      <c r="A3" s="70" t="s">
        <v>91</v>
      </c>
    </row>
    <row r="4" spans="1:7">
      <c r="A4" s="6" t="s">
        <v>92</v>
      </c>
      <c r="D4" s="90">
        <f>'Ann 2'!C6</f>
        <v>152.5</v>
      </c>
    </row>
    <row r="5" spans="1:7">
      <c r="A5" s="6" t="s">
        <v>320</v>
      </c>
      <c r="D5" s="90">
        <f>35%*('Ann 1'!C41-'Ann 1'!C25)</f>
        <v>61.249999999999993</v>
      </c>
    </row>
    <row r="6" spans="1:7">
      <c r="A6" s="6" t="s">
        <v>93</v>
      </c>
      <c r="D6" s="91">
        <v>0.06</v>
      </c>
    </row>
    <row r="7" spans="1:7">
      <c r="A7" s="6" t="s">
        <v>94</v>
      </c>
      <c r="D7" s="92" t="s">
        <v>153</v>
      </c>
    </row>
    <row r="9" spans="1:7">
      <c r="A9" s="27" t="s">
        <v>68</v>
      </c>
      <c r="B9" s="27" t="s">
        <v>95</v>
      </c>
      <c r="C9" s="27" t="s">
        <v>96</v>
      </c>
      <c r="D9" s="27" t="s">
        <v>98</v>
      </c>
      <c r="E9" s="27" t="s">
        <v>97</v>
      </c>
    </row>
    <row r="10" spans="1:7">
      <c r="A10" s="135">
        <v>1</v>
      </c>
      <c r="B10" s="7">
        <v>1</v>
      </c>
      <c r="C10" s="78">
        <f>$D$4</f>
        <v>152.5</v>
      </c>
      <c r="D10" s="7">
        <v>0</v>
      </c>
      <c r="E10" s="7">
        <f>C10*$D$6/4</f>
        <v>2.2875000000000001</v>
      </c>
    </row>
    <row r="11" spans="1:7">
      <c r="A11" s="135"/>
      <c r="B11" s="7">
        <v>2</v>
      </c>
      <c r="C11" s="78">
        <f>$D$4</f>
        <v>152.5</v>
      </c>
      <c r="D11" s="7">
        <v>0</v>
      </c>
      <c r="E11" s="7">
        <f t="shared" ref="E11:E27" si="0">C11*$D$6/4</f>
        <v>2.2875000000000001</v>
      </c>
      <c r="G11" s="93"/>
    </row>
    <row r="12" spans="1:7">
      <c r="A12" s="135"/>
      <c r="B12" s="7">
        <v>3</v>
      </c>
      <c r="C12" s="78">
        <f>$D$4</f>
        <v>152.5</v>
      </c>
      <c r="D12" s="7">
        <f>D4/26</f>
        <v>5.865384615384615</v>
      </c>
      <c r="E12" s="7">
        <f t="shared" si="0"/>
        <v>2.2875000000000001</v>
      </c>
    </row>
    <row r="13" spans="1:7">
      <c r="A13" s="135"/>
      <c r="B13" s="7">
        <v>4</v>
      </c>
      <c r="C13" s="7">
        <f t="shared" ref="C13:C18" si="1">C12-D12</f>
        <v>146.63461538461539</v>
      </c>
      <c r="D13" s="7">
        <f>D12</f>
        <v>5.865384615384615</v>
      </c>
      <c r="E13" s="7">
        <f t="shared" si="0"/>
        <v>2.1995192307692308</v>
      </c>
    </row>
    <row r="14" spans="1:7">
      <c r="A14" s="135">
        <v>2</v>
      </c>
      <c r="B14" s="7">
        <v>1</v>
      </c>
      <c r="C14" s="7">
        <f t="shared" si="1"/>
        <v>140.76923076923077</v>
      </c>
      <c r="D14" s="7">
        <f t="shared" ref="D14:D37" si="2">D13</f>
        <v>5.865384615384615</v>
      </c>
      <c r="E14" s="7">
        <f t="shared" si="0"/>
        <v>2.1115384615384616</v>
      </c>
    </row>
    <row r="15" spans="1:7">
      <c r="A15" s="135"/>
      <c r="B15" s="7">
        <v>2</v>
      </c>
      <c r="C15" s="7">
        <f t="shared" si="1"/>
        <v>134.90384615384616</v>
      </c>
      <c r="D15" s="7">
        <f t="shared" si="2"/>
        <v>5.865384615384615</v>
      </c>
      <c r="E15" s="7">
        <f t="shared" si="0"/>
        <v>2.0235576923076923</v>
      </c>
    </row>
    <row r="16" spans="1:7">
      <c r="A16" s="135"/>
      <c r="B16" s="7">
        <v>3</v>
      </c>
      <c r="C16" s="7">
        <f t="shared" si="1"/>
        <v>129.03846153846155</v>
      </c>
      <c r="D16" s="7">
        <f t="shared" si="2"/>
        <v>5.865384615384615</v>
      </c>
      <c r="E16" s="7">
        <f t="shared" si="0"/>
        <v>1.9355769230769231</v>
      </c>
    </row>
    <row r="17" spans="1:6">
      <c r="A17" s="135"/>
      <c r="B17" s="7">
        <v>4</v>
      </c>
      <c r="C17" s="7">
        <f t="shared" si="1"/>
        <v>123.17307692307693</v>
      </c>
      <c r="D17" s="7">
        <f t="shared" si="2"/>
        <v>5.865384615384615</v>
      </c>
      <c r="E17" s="7">
        <f t="shared" si="0"/>
        <v>1.8475961538461538</v>
      </c>
    </row>
    <row r="18" spans="1:6">
      <c r="A18" s="135">
        <v>3</v>
      </c>
      <c r="B18" s="7">
        <v>1</v>
      </c>
      <c r="C18" s="7">
        <f t="shared" si="1"/>
        <v>117.30769230769232</v>
      </c>
      <c r="D18" s="7">
        <f t="shared" si="2"/>
        <v>5.865384615384615</v>
      </c>
      <c r="E18" s="7">
        <f t="shared" si="0"/>
        <v>1.7596153846153848</v>
      </c>
    </row>
    <row r="19" spans="1:6">
      <c r="A19" s="135"/>
      <c r="B19" s="7">
        <v>2</v>
      </c>
      <c r="C19" s="7">
        <f t="shared" ref="C19:C28" si="3">C18-D18</f>
        <v>111.44230769230771</v>
      </c>
      <c r="D19" s="7">
        <f t="shared" si="2"/>
        <v>5.865384615384615</v>
      </c>
      <c r="E19" s="7">
        <f t="shared" si="0"/>
        <v>1.6716346153846156</v>
      </c>
    </row>
    <row r="20" spans="1:6">
      <c r="A20" s="135"/>
      <c r="B20" s="7">
        <v>3</v>
      </c>
      <c r="C20" s="7">
        <f t="shared" si="3"/>
        <v>105.57692307692309</v>
      </c>
      <c r="D20" s="7">
        <f t="shared" si="2"/>
        <v>5.865384615384615</v>
      </c>
      <c r="E20" s="7">
        <f t="shared" si="0"/>
        <v>1.5836538461538463</v>
      </c>
    </row>
    <row r="21" spans="1:6">
      <c r="A21" s="135"/>
      <c r="B21" s="7">
        <v>4</v>
      </c>
      <c r="C21" s="7">
        <f t="shared" si="3"/>
        <v>99.711538461538481</v>
      </c>
      <c r="D21" s="7">
        <f t="shared" si="2"/>
        <v>5.865384615384615</v>
      </c>
      <c r="E21" s="7">
        <f t="shared" si="0"/>
        <v>1.4956730769230773</v>
      </c>
    </row>
    <row r="22" spans="1:6">
      <c r="A22" s="135">
        <v>4</v>
      </c>
      <c r="B22" s="7">
        <v>1</v>
      </c>
      <c r="C22" s="7">
        <f t="shared" si="3"/>
        <v>93.846153846153868</v>
      </c>
      <c r="D22" s="7">
        <f t="shared" si="2"/>
        <v>5.865384615384615</v>
      </c>
      <c r="E22" s="7">
        <f t="shared" si="0"/>
        <v>1.407692307692308</v>
      </c>
    </row>
    <row r="23" spans="1:6">
      <c r="A23" s="135"/>
      <c r="B23" s="7">
        <v>2</v>
      </c>
      <c r="C23" s="7">
        <f t="shared" si="3"/>
        <v>87.980769230769255</v>
      </c>
      <c r="D23" s="7">
        <f t="shared" si="2"/>
        <v>5.865384615384615</v>
      </c>
      <c r="E23" s="7">
        <f t="shared" si="0"/>
        <v>1.3197115384615388</v>
      </c>
    </row>
    <row r="24" spans="1:6">
      <c r="A24" s="135"/>
      <c r="B24" s="7">
        <v>3</v>
      </c>
      <c r="C24" s="7">
        <f t="shared" si="3"/>
        <v>82.115384615384642</v>
      </c>
      <c r="D24" s="7">
        <f t="shared" si="2"/>
        <v>5.865384615384615</v>
      </c>
      <c r="E24" s="7">
        <f t="shared" si="0"/>
        <v>1.2317307692307695</v>
      </c>
    </row>
    <row r="25" spans="1:6">
      <c r="A25" s="135"/>
      <c r="B25" s="7">
        <v>4</v>
      </c>
      <c r="C25" s="7">
        <f t="shared" si="3"/>
        <v>76.250000000000028</v>
      </c>
      <c r="D25" s="7">
        <f t="shared" si="2"/>
        <v>5.865384615384615</v>
      </c>
      <c r="E25" s="7">
        <f t="shared" si="0"/>
        <v>1.1437500000000005</v>
      </c>
    </row>
    <row r="26" spans="1:6">
      <c r="A26" s="135">
        <v>5</v>
      </c>
      <c r="B26" s="7">
        <v>1</v>
      </c>
      <c r="C26" s="7">
        <f t="shared" si="3"/>
        <v>70.384615384615415</v>
      </c>
      <c r="D26" s="7">
        <f t="shared" si="2"/>
        <v>5.865384615384615</v>
      </c>
      <c r="E26" s="7">
        <f t="shared" si="0"/>
        <v>1.0557692307692312</v>
      </c>
    </row>
    <row r="27" spans="1:6">
      <c r="A27" s="135"/>
      <c r="B27" s="7">
        <v>2</v>
      </c>
      <c r="C27" s="7">
        <f t="shared" si="3"/>
        <v>64.519230769230802</v>
      </c>
      <c r="D27" s="7">
        <v>3.2692307692308091</v>
      </c>
      <c r="E27" s="7">
        <f t="shared" si="0"/>
        <v>0.96778846153846199</v>
      </c>
      <c r="F27" s="90"/>
    </row>
    <row r="28" spans="1:6">
      <c r="A28" s="135"/>
      <c r="B28" s="7">
        <v>3</v>
      </c>
      <c r="C28" s="7">
        <f t="shared" si="3"/>
        <v>61.249999999999993</v>
      </c>
      <c r="D28" s="7">
        <v>0</v>
      </c>
      <c r="E28" s="7">
        <v>0</v>
      </c>
      <c r="F28" s="6" t="s">
        <v>322</v>
      </c>
    </row>
    <row r="29" spans="1:6">
      <c r="A29" s="135"/>
      <c r="B29" s="7">
        <v>4</v>
      </c>
      <c r="C29" s="7">
        <v>0</v>
      </c>
      <c r="D29" s="7">
        <f t="shared" si="2"/>
        <v>0</v>
      </c>
      <c r="E29" s="7">
        <v>0</v>
      </c>
    </row>
    <row r="30" spans="1:6">
      <c r="A30" s="135">
        <v>6</v>
      </c>
      <c r="B30" s="7">
        <v>1</v>
      </c>
      <c r="C30" s="7">
        <v>0</v>
      </c>
      <c r="D30" s="7">
        <f t="shared" si="2"/>
        <v>0</v>
      </c>
      <c r="E30" s="7">
        <v>0</v>
      </c>
    </row>
    <row r="31" spans="1:6">
      <c r="A31" s="135"/>
      <c r="B31" s="7">
        <v>2</v>
      </c>
      <c r="C31" s="7">
        <v>0</v>
      </c>
      <c r="D31" s="7">
        <f t="shared" si="2"/>
        <v>0</v>
      </c>
      <c r="E31" s="7">
        <v>0</v>
      </c>
    </row>
    <row r="32" spans="1:6">
      <c r="A32" s="135"/>
      <c r="B32" s="7">
        <v>3</v>
      </c>
      <c r="C32" s="7">
        <v>0</v>
      </c>
      <c r="D32" s="7">
        <f t="shared" si="2"/>
        <v>0</v>
      </c>
      <c r="E32" s="7">
        <v>0</v>
      </c>
    </row>
    <row r="33" spans="1:5">
      <c r="A33" s="135"/>
      <c r="B33" s="7">
        <v>4</v>
      </c>
      <c r="C33" s="7">
        <v>0</v>
      </c>
      <c r="D33" s="7">
        <f t="shared" si="2"/>
        <v>0</v>
      </c>
      <c r="E33" s="7">
        <v>0</v>
      </c>
    </row>
    <row r="34" spans="1:5">
      <c r="A34" s="135">
        <v>7</v>
      </c>
      <c r="B34" s="7">
        <v>1</v>
      </c>
      <c r="C34" s="7">
        <v>0</v>
      </c>
      <c r="D34" s="7">
        <f t="shared" si="2"/>
        <v>0</v>
      </c>
      <c r="E34" s="7">
        <v>0</v>
      </c>
    </row>
    <row r="35" spans="1:5">
      <c r="A35" s="135"/>
      <c r="B35" s="7">
        <v>2</v>
      </c>
      <c r="C35" s="7">
        <v>0</v>
      </c>
      <c r="D35" s="7">
        <f t="shared" si="2"/>
        <v>0</v>
      </c>
      <c r="E35" s="7">
        <v>0</v>
      </c>
    </row>
    <row r="36" spans="1:5">
      <c r="A36" s="135"/>
      <c r="B36" s="7">
        <v>3</v>
      </c>
      <c r="C36" s="7">
        <v>0</v>
      </c>
      <c r="D36" s="7">
        <f t="shared" si="2"/>
        <v>0</v>
      </c>
      <c r="E36" s="7">
        <v>0</v>
      </c>
    </row>
    <row r="37" spans="1:5">
      <c r="A37" s="135"/>
      <c r="B37" s="7">
        <v>4</v>
      </c>
      <c r="C37" s="7">
        <v>0</v>
      </c>
      <c r="D37" s="7">
        <f t="shared" si="2"/>
        <v>0</v>
      </c>
      <c r="E37" s="7">
        <v>0</v>
      </c>
    </row>
    <row r="39" spans="1:5" ht="67.5" customHeight="1">
      <c r="A39" s="133" t="s">
        <v>323</v>
      </c>
      <c r="B39" s="133"/>
      <c r="C39" s="133"/>
      <c r="D39" s="133"/>
      <c r="E39" s="133"/>
    </row>
    <row r="40" spans="1:5" ht="51" customHeight="1">
      <c r="A40" s="133" t="s">
        <v>324</v>
      </c>
      <c r="B40" s="133"/>
      <c r="C40" s="133"/>
      <c r="D40" s="133"/>
      <c r="E40" s="133"/>
    </row>
    <row r="41" spans="1:5">
      <c r="A41" s="133" t="s">
        <v>321</v>
      </c>
      <c r="B41" s="133"/>
      <c r="C41" s="133"/>
      <c r="D41" s="133"/>
      <c r="E41" s="133"/>
    </row>
  </sheetData>
  <mergeCells count="10">
    <mergeCell ref="A39:E39"/>
    <mergeCell ref="A40:E40"/>
    <mergeCell ref="A41:E41"/>
    <mergeCell ref="A34:A37"/>
    <mergeCell ref="A10:A13"/>
    <mergeCell ref="A14:A17"/>
    <mergeCell ref="A18:A21"/>
    <mergeCell ref="A22:A25"/>
    <mergeCell ref="A26:A29"/>
    <mergeCell ref="A30:A33"/>
  </mergeCells>
  <pageMargins left="0.7" right="0.7" top="0.75" bottom="0.75" header="0.3" footer="0.3"/>
  <pageSetup scale="87"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D1C3B-78D2-43F9-ABE8-F6A84BAA4AE1}">
  <sheetPr>
    <pageSetUpPr fitToPage="1"/>
  </sheetPr>
  <dimension ref="A1:L32"/>
  <sheetViews>
    <sheetView topLeftCell="A3" workbookViewId="0">
      <selection activeCell="C19" sqref="C19"/>
    </sheetView>
  </sheetViews>
  <sheetFormatPr defaultRowHeight="14"/>
  <cols>
    <col min="1" max="1" width="41.1796875" style="6" bestFit="1" customWidth="1"/>
    <col min="2" max="2" width="14.7265625" style="6" customWidth="1"/>
    <col min="3" max="11" width="14.7265625" style="6" bestFit="1" customWidth="1"/>
    <col min="12" max="12" width="13.6328125" style="6" bestFit="1" customWidth="1"/>
    <col min="13" max="16384" width="8.7265625" style="6"/>
  </cols>
  <sheetData>
    <row r="1" spans="1:11">
      <c r="A1" s="5" t="s">
        <v>292</v>
      </c>
      <c r="B1" s="5"/>
    </row>
    <row r="2" spans="1:11">
      <c r="A2" s="5"/>
      <c r="B2" s="5"/>
    </row>
    <row r="3" spans="1:11">
      <c r="A3" s="27" t="s">
        <v>3</v>
      </c>
      <c r="B3" s="94">
        <v>0</v>
      </c>
      <c r="C3" s="27" t="s">
        <v>38</v>
      </c>
      <c r="D3" s="27" t="s">
        <v>39</v>
      </c>
      <c r="E3" s="27" t="s">
        <v>40</v>
      </c>
      <c r="F3" s="27" t="s">
        <v>41</v>
      </c>
      <c r="G3" s="27" t="s">
        <v>42</v>
      </c>
      <c r="H3" s="27" t="s">
        <v>43</v>
      </c>
      <c r="I3" s="27" t="s">
        <v>44</v>
      </c>
      <c r="J3" s="27" t="s">
        <v>45</v>
      </c>
      <c r="K3" s="27" t="s">
        <v>46</v>
      </c>
    </row>
    <row r="4" spans="1:11">
      <c r="A4" s="7" t="s">
        <v>158</v>
      </c>
      <c r="B4" s="72">
        <f>'Ann 2'!C7*100000</f>
        <v>5000000</v>
      </c>
      <c r="C4" s="72">
        <f>B21</f>
        <v>5000000</v>
      </c>
      <c r="D4" s="72">
        <f>C21</f>
        <v>7142916.0876923092</v>
      </c>
      <c r="E4" s="72">
        <f t="shared" ref="E4:K4" si="0">D21</f>
        <v>7207285.3003076836</v>
      </c>
      <c r="F4" s="72">
        <f t="shared" si="0"/>
        <v>7652860.1162307691</v>
      </c>
      <c r="G4" s="72">
        <f t="shared" si="0"/>
        <v>8027727.4894615319</v>
      </c>
      <c r="H4" s="72">
        <f t="shared" si="0"/>
        <v>4917152.5690076826</v>
      </c>
      <c r="I4" s="72">
        <f t="shared" si="0"/>
        <v>9309316.6074426956</v>
      </c>
      <c r="J4" s="72">
        <f t="shared" si="0"/>
        <v>13784817.747924404</v>
      </c>
      <c r="K4" s="72">
        <f t="shared" si="0"/>
        <v>18360452.187976483</v>
      </c>
    </row>
    <row r="5" spans="1:11">
      <c r="A5" s="7" t="s">
        <v>197</v>
      </c>
      <c r="B5" s="72">
        <f>'Ann 5'!C18</f>
        <v>2250000</v>
      </c>
      <c r="C5" s="72">
        <v>0</v>
      </c>
      <c r="D5" s="72">
        <v>0</v>
      </c>
      <c r="E5" s="72">
        <v>0</v>
      </c>
      <c r="F5" s="72">
        <v>0</v>
      </c>
      <c r="G5" s="72">
        <v>0</v>
      </c>
      <c r="H5" s="72">
        <v>0</v>
      </c>
      <c r="I5" s="72">
        <v>0</v>
      </c>
      <c r="J5" s="72">
        <v>0</v>
      </c>
      <c r="K5" s="72">
        <v>0</v>
      </c>
    </row>
    <row r="6" spans="1:11">
      <c r="A6" s="7" t="s">
        <v>198</v>
      </c>
      <c r="B6" s="72">
        <f>'Ann 2'!C6*100000</f>
        <v>15250000</v>
      </c>
      <c r="C6" s="72">
        <v>0</v>
      </c>
      <c r="D6" s="72">
        <v>0</v>
      </c>
      <c r="E6" s="72">
        <v>0</v>
      </c>
      <c r="F6" s="72">
        <v>0</v>
      </c>
      <c r="G6" s="72">
        <v>0</v>
      </c>
      <c r="H6" s="72">
        <v>0</v>
      </c>
      <c r="I6" s="72">
        <v>0</v>
      </c>
      <c r="J6" s="72">
        <v>0</v>
      </c>
      <c r="K6" s="72">
        <v>0</v>
      </c>
    </row>
    <row r="7" spans="1:11">
      <c r="A7" s="7" t="s">
        <v>199</v>
      </c>
      <c r="B7" s="72">
        <f>'Ann 9'!F9*100000</f>
        <v>17400000</v>
      </c>
      <c r="C7" s="72">
        <v>0</v>
      </c>
      <c r="D7" s="72">
        <v>0</v>
      </c>
      <c r="E7" s="72">
        <v>0</v>
      </c>
      <c r="F7" s="72">
        <v>0</v>
      </c>
      <c r="G7" s="72">
        <v>0</v>
      </c>
      <c r="H7" s="72">
        <v>0</v>
      </c>
      <c r="I7" s="72">
        <v>0</v>
      </c>
      <c r="J7" s="72">
        <v>0</v>
      </c>
      <c r="K7" s="72">
        <v>0</v>
      </c>
    </row>
    <row r="8" spans="1:11">
      <c r="A8" s="7" t="s">
        <v>264</v>
      </c>
      <c r="B8" s="72">
        <f>'Ann 1'!C8*100000</f>
        <v>0</v>
      </c>
      <c r="C8" s="72"/>
      <c r="D8" s="72"/>
      <c r="E8" s="72"/>
      <c r="F8" s="72"/>
      <c r="G8" s="72"/>
      <c r="H8" s="72"/>
      <c r="I8" s="72"/>
      <c r="J8" s="72"/>
      <c r="K8" s="72"/>
    </row>
    <row r="9" spans="1:11">
      <c r="A9" s="7" t="s">
        <v>159</v>
      </c>
      <c r="B9" s="72"/>
      <c r="C9" s="72">
        <f>'Ann 4'!C23-'Ann 5'!C12</f>
        <v>59573664</v>
      </c>
      <c r="D9" s="72">
        <f>'Ann 4'!D23-'Ann 5'!D12</f>
        <v>70991949.599999994</v>
      </c>
      <c r="E9" s="72">
        <f>'Ann 4'!E23-'Ann 5'!E12</f>
        <v>76452868.800000012</v>
      </c>
      <c r="F9" s="72">
        <f>'Ann 4'!F23-'Ann 5'!F12</f>
        <v>81913788.000000015</v>
      </c>
      <c r="G9" s="72">
        <f>'Ann 4'!G23-'Ann 5'!G12</f>
        <v>87374707.200000018</v>
      </c>
      <c r="H9" s="72">
        <f>'Ann 4'!H23-'Ann 5'!H12</f>
        <v>92835626.400000006</v>
      </c>
      <c r="I9" s="72">
        <f>'Ann 4'!I23-'Ann 5'!I12</f>
        <v>98296545.600000009</v>
      </c>
      <c r="J9" s="72">
        <f>'Ann 4'!J23-'Ann 5'!J12</f>
        <v>103757464.80000001</v>
      </c>
      <c r="K9" s="72">
        <f>'Ann 4'!K23-'Ann 5'!K12</f>
        <v>109218384</v>
      </c>
    </row>
    <row r="10" spans="1:11">
      <c r="A10" s="7" t="s">
        <v>174</v>
      </c>
      <c r="B10" s="72">
        <v>0</v>
      </c>
      <c r="C10" s="72">
        <v>0</v>
      </c>
      <c r="D10" s="72">
        <f>'Ann 5'!C24</f>
        <v>15585829.199999999</v>
      </c>
      <c r="E10" s="72">
        <f>'Ann 5'!D24</f>
        <v>17970898.725000001</v>
      </c>
      <c r="F10" s="72">
        <f>'Ann 5'!E24</f>
        <v>19353275.550000004</v>
      </c>
      <c r="G10" s="72">
        <f>'Ann 5'!F24</f>
        <v>20735652.375</v>
      </c>
      <c r="H10" s="72">
        <f>'Ann 5'!G24</f>
        <v>22118029.199999999</v>
      </c>
      <c r="I10" s="72">
        <f>'Ann 5'!H24</f>
        <v>23500406.025000002</v>
      </c>
      <c r="J10" s="72">
        <f>'Ann 5'!I24</f>
        <v>24882782.850000001</v>
      </c>
      <c r="K10" s="72">
        <f>'Ann 5'!J24</f>
        <v>26265159.675000001</v>
      </c>
    </row>
    <row r="11" spans="1:11">
      <c r="A11" s="7" t="s">
        <v>175</v>
      </c>
      <c r="B11" s="72">
        <v>0</v>
      </c>
      <c r="C11" s="72">
        <v>0</v>
      </c>
      <c r="D11" s="72">
        <f>'Ann 5'!C12</f>
        <v>14893416</v>
      </c>
      <c r="E11" s="72">
        <f>'Ann 5'!D12</f>
        <v>17747987.399999999</v>
      </c>
      <c r="F11" s="72">
        <f>'Ann 5'!E12</f>
        <v>19113217.200000003</v>
      </c>
      <c r="G11" s="72">
        <f>'Ann 5'!F12</f>
        <v>20478447.000000004</v>
      </c>
      <c r="H11" s="72">
        <f>'Ann 5'!G12</f>
        <v>21843676.800000004</v>
      </c>
      <c r="I11" s="72">
        <f>'Ann 5'!H12</f>
        <v>23208906.600000001</v>
      </c>
      <c r="J11" s="72">
        <f>'Ann 5'!I12</f>
        <v>24574136.400000002</v>
      </c>
      <c r="K11" s="72">
        <f>'Ann 5'!J12</f>
        <v>25939366.200000003</v>
      </c>
    </row>
    <row r="12" spans="1:11">
      <c r="A12" s="7" t="s">
        <v>176</v>
      </c>
      <c r="B12" s="72">
        <v>0</v>
      </c>
      <c r="C12" s="72">
        <f>'Ann 4'!C11+'Ann 4'!C20-'Ann 5'!C24</f>
        <v>50015046.799999997</v>
      </c>
      <c r="D12" s="72">
        <f>'Ann 4'!D11+'Ann 4'!D20-'Ann 5'!D24</f>
        <v>57113493.824999996</v>
      </c>
      <c r="E12" s="72">
        <f>'Ann 4'!E11+'Ann 4'!E20-'Ann 5'!E24</f>
        <v>61261801.350000001</v>
      </c>
      <c r="F12" s="72">
        <f>'Ann 4'!F11+'Ann 4'!F20-'Ann 5'!F24</f>
        <v>65427505.275000006</v>
      </c>
      <c r="G12" s="72">
        <f>'Ann 4'!G11+'Ann 4'!G20-'Ann 5'!G24</f>
        <v>69611475.420000002</v>
      </c>
      <c r="H12" s="72">
        <f>'Ann 4'!H11+'Ann 4'!H20-'Ann 5'!H24</f>
        <v>73814625.096000016</v>
      </c>
      <c r="I12" s="72">
        <f>'Ann 4'!I11+'Ann 4'!I20-'Ann 5'!I24</f>
        <v>78037913.279550016</v>
      </c>
      <c r="J12" s="72">
        <f>'Ann 4'!J11+'Ann 4'!J20-'Ann 5'!J24</f>
        <v>82282346.896027505</v>
      </c>
      <c r="K12" s="72">
        <f>'Ann 4'!K11+'Ann 4'!K20-'Ann 5'!K24</f>
        <v>86548983.217078865</v>
      </c>
    </row>
    <row r="13" spans="1:11">
      <c r="A13" s="7" t="s">
        <v>241</v>
      </c>
      <c r="B13" s="72">
        <f>'Ann 4'!C32</f>
        <v>100000</v>
      </c>
      <c r="C13" s="72">
        <v>0</v>
      </c>
      <c r="D13" s="72">
        <v>0</v>
      </c>
      <c r="E13" s="72">
        <v>0</v>
      </c>
      <c r="F13" s="72">
        <v>0</v>
      </c>
      <c r="G13" s="72">
        <v>0</v>
      </c>
      <c r="H13" s="72">
        <v>0</v>
      </c>
      <c r="I13" s="72">
        <v>0</v>
      </c>
      <c r="J13" s="72">
        <v>0</v>
      </c>
      <c r="K13" s="72">
        <v>0</v>
      </c>
    </row>
    <row r="14" spans="1:11">
      <c r="A14" s="7" t="s">
        <v>160</v>
      </c>
      <c r="B14" s="72">
        <v>0</v>
      </c>
      <c r="C14" s="72">
        <f>'Ann 4'!C29</f>
        <v>1406201.923076923</v>
      </c>
      <c r="D14" s="72">
        <f>'Ann 4'!D29</f>
        <v>1291826.923076923</v>
      </c>
      <c r="E14" s="72">
        <f>'Ann 4'!E29</f>
        <v>1151057.6923076925</v>
      </c>
      <c r="F14" s="72">
        <f>'Ann 4'!F29</f>
        <v>1010288.4615384617</v>
      </c>
      <c r="G14" s="72">
        <f>'Ann 4'!G29</f>
        <v>702355.76923076937</v>
      </c>
      <c r="H14" s="72">
        <f>'Ann 4'!H29</f>
        <v>500000</v>
      </c>
      <c r="I14" s="72">
        <f>'Ann 4'!I29</f>
        <v>500000</v>
      </c>
      <c r="J14" s="72">
        <f>'Ann 4'!J29</f>
        <v>500000</v>
      </c>
      <c r="K14" s="72">
        <f>'Ann 4'!K29</f>
        <v>500000</v>
      </c>
    </row>
    <row r="15" spans="1:11">
      <c r="A15" s="7"/>
      <c r="B15" s="72">
        <f>B4+B5+B6-B7-B8-B13</f>
        <v>5000000</v>
      </c>
      <c r="C15" s="72">
        <f>C4+C9-C10+C11-C12-C14+C5+C6-C7</f>
        <v>13152415.276923079</v>
      </c>
      <c r="D15" s="72">
        <f>D4+D9-D10+D11-D12-D14+D5+D6-D7</f>
        <v>19037131.739615377</v>
      </c>
      <c r="E15" s="72">
        <f>E4+E9-E10+E11-E12-E14+E5+E6-E7</f>
        <v>21024383.733000007</v>
      </c>
      <c r="F15" s="72">
        <f t="shared" ref="F15:K15" si="1">F4+F9-F10+F11-F12-F14+F5+F6-F7</f>
        <v>22888796.029692311</v>
      </c>
      <c r="G15" s="72">
        <f t="shared" si="1"/>
        <v>24831398.125230774</v>
      </c>
      <c r="H15" s="72">
        <f t="shared" si="1"/>
        <v>23163801.473007679</v>
      </c>
      <c r="I15" s="72">
        <f t="shared" si="1"/>
        <v>28776449.502892673</v>
      </c>
      <c r="J15" s="72">
        <f t="shared" si="1"/>
        <v>34451289.201896906</v>
      </c>
      <c r="K15" s="72">
        <f t="shared" si="1"/>
        <v>40204059.495897621</v>
      </c>
    </row>
    <row r="16" spans="1:11">
      <c r="A16" s="7" t="s">
        <v>178</v>
      </c>
      <c r="B16" s="72">
        <v>0</v>
      </c>
      <c r="C16" s="72">
        <f>'Ann 4'!C36</f>
        <v>1715031.0230769231</v>
      </c>
      <c r="D16" s="72">
        <f>'Ann 4'!D36</f>
        <v>3308264.8580769235</v>
      </c>
      <c r="E16" s="72">
        <f>'Ann 4'!E36</f>
        <v>3846059.2223076951</v>
      </c>
      <c r="F16" s="72">
        <f>'Ann 4'!F36</f>
        <v>4365667.9165384639</v>
      </c>
      <c r="G16" s="72">
        <f>'Ann 4'!G36</f>
        <v>4918878.1457307721</v>
      </c>
      <c r="H16" s="72">
        <f>'Ann 4'!H36</f>
        <v>4832959.8368249936</v>
      </c>
      <c r="I16" s="72">
        <f>'Ann 4'!I36</f>
        <v>5229638.9842912564</v>
      </c>
      <c r="J16" s="72">
        <f>'Ann 4'!J36</f>
        <v>5613082.6792745655</v>
      </c>
      <c r="K16" s="72">
        <f>'Ann 4'!K36</f>
        <v>5983977.398681731</v>
      </c>
    </row>
    <row r="17" spans="1:12">
      <c r="A17" s="7"/>
      <c r="B17" s="72">
        <v>0</v>
      </c>
      <c r="C17" s="72">
        <f>C15-C16</f>
        <v>11437384.253846155</v>
      </c>
      <c r="D17" s="72">
        <f t="shared" ref="D17:K17" si="2">D15-D16</f>
        <v>15728866.881538454</v>
      </c>
      <c r="E17" s="72">
        <f t="shared" si="2"/>
        <v>17178324.510692313</v>
      </c>
      <c r="F17" s="72">
        <f t="shared" si="2"/>
        <v>18523128.113153845</v>
      </c>
      <c r="G17" s="72">
        <f t="shared" si="2"/>
        <v>19912519.979500003</v>
      </c>
      <c r="H17" s="72">
        <f t="shared" si="2"/>
        <v>18330841.636182684</v>
      </c>
      <c r="I17" s="72">
        <f t="shared" si="2"/>
        <v>23546810.518601418</v>
      </c>
      <c r="J17" s="72">
        <f t="shared" si="2"/>
        <v>28838206.522622339</v>
      </c>
      <c r="K17" s="72">
        <f t="shared" si="2"/>
        <v>34220082.097215891</v>
      </c>
    </row>
    <row r="18" spans="1:12">
      <c r="A18" s="7" t="s">
        <v>177</v>
      </c>
      <c r="B18" s="72">
        <v>0</v>
      </c>
      <c r="C18" s="72">
        <f>'Ann 4'!C38</f>
        <v>3121391.2430769233</v>
      </c>
      <c r="D18" s="72">
        <f>'Ann 4'!D38</f>
        <v>6175427.7350769248</v>
      </c>
      <c r="E18" s="72">
        <f>'Ann 4'!E38</f>
        <v>7179310.5483076982</v>
      </c>
      <c r="F18" s="72">
        <f>'Ann 4'!F38</f>
        <v>8149246.7775384672</v>
      </c>
      <c r="G18" s="72">
        <f>'Ann 4'!G38</f>
        <v>14081905.872030778</v>
      </c>
      <c r="H18" s="72">
        <f>'Ann 4'!H38</f>
        <v>9021525.0287399888</v>
      </c>
      <c r="I18" s="72">
        <f>'Ann 4'!I38</f>
        <v>9761992.7706770133</v>
      </c>
      <c r="J18" s="72">
        <f>'Ann 4'!J38</f>
        <v>10477754.334645856</v>
      </c>
      <c r="K18" s="72">
        <f>'Ann 4'!K38</f>
        <v>11170091.144205898</v>
      </c>
    </row>
    <row r="19" spans="1:12">
      <c r="A19" s="7"/>
      <c r="B19" s="72">
        <v>0</v>
      </c>
      <c r="C19" s="72">
        <f>C17-C18</f>
        <v>8315993.0107692322</v>
      </c>
      <c r="D19" s="72">
        <f t="shared" ref="D19:K19" si="3">D17-D18</f>
        <v>9553439.1464615297</v>
      </c>
      <c r="E19" s="72">
        <f t="shared" si="3"/>
        <v>9999013.9623846151</v>
      </c>
      <c r="F19" s="72">
        <f t="shared" si="3"/>
        <v>10373881.335615378</v>
      </c>
      <c r="G19" s="72">
        <f t="shared" si="3"/>
        <v>5830614.1074692253</v>
      </c>
      <c r="H19" s="72">
        <f t="shared" si="3"/>
        <v>9309316.6074426956</v>
      </c>
      <c r="I19" s="72">
        <f t="shared" si="3"/>
        <v>13784817.747924404</v>
      </c>
      <c r="J19" s="72">
        <f t="shared" si="3"/>
        <v>18360452.187976483</v>
      </c>
      <c r="K19" s="72">
        <f t="shared" si="3"/>
        <v>23049990.953009993</v>
      </c>
    </row>
    <row r="20" spans="1:12">
      <c r="A20" s="7" t="s">
        <v>179</v>
      </c>
      <c r="B20" s="72">
        <v>0</v>
      </c>
      <c r="C20" s="72">
        <f>SUM('Ann 13'!D10:D13)*100000</f>
        <v>1173076.923076923</v>
      </c>
      <c r="D20" s="72">
        <f>SUM('Ann 13'!D14:D17)*100000</f>
        <v>2346153.846153846</v>
      </c>
      <c r="E20" s="72">
        <f>SUM('Ann 13'!D18:D21)*100000</f>
        <v>2346153.846153846</v>
      </c>
      <c r="F20" s="72">
        <f>SUM('Ann 13'!D22:D25)*100000</f>
        <v>2346153.846153846</v>
      </c>
      <c r="G20" s="72">
        <f>SUM('Ann 13'!D26:D29)*100000</f>
        <v>913461.53846154246</v>
      </c>
      <c r="H20" s="72">
        <f>SUM('Ann 13'!D30:D33)*100000</f>
        <v>0</v>
      </c>
      <c r="I20" s="72">
        <f>SUM('Ann 13'!D34:D37)*100000</f>
        <v>0</v>
      </c>
      <c r="J20" s="72">
        <v>0</v>
      </c>
      <c r="K20" s="72">
        <v>0</v>
      </c>
    </row>
    <row r="21" spans="1:12">
      <c r="A21" s="7" t="s">
        <v>180</v>
      </c>
      <c r="B21" s="72">
        <f>B4+B5+B6-B7-B13-B8</f>
        <v>5000000</v>
      </c>
      <c r="C21" s="72">
        <f>C19-C20</f>
        <v>7142916.0876923092</v>
      </c>
      <c r="D21" s="72">
        <f>D19-D20</f>
        <v>7207285.3003076836</v>
      </c>
      <c r="E21" s="72">
        <f>E19-E20</f>
        <v>7652860.1162307691</v>
      </c>
      <c r="F21" s="72">
        <f t="shared" ref="F21:K21" si="4">F19-F20</f>
        <v>8027727.4894615319</v>
      </c>
      <c r="G21" s="72">
        <f t="shared" si="4"/>
        <v>4917152.5690076826</v>
      </c>
      <c r="H21" s="72">
        <f t="shared" si="4"/>
        <v>9309316.6074426956</v>
      </c>
      <c r="I21" s="72">
        <f t="shared" si="4"/>
        <v>13784817.747924404</v>
      </c>
      <c r="J21" s="72">
        <f t="shared" si="4"/>
        <v>18360452.187976483</v>
      </c>
      <c r="K21" s="72">
        <f t="shared" si="4"/>
        <v>23049990.953009993</v>
      </c>
    </row>
    <row r="22" spans="1:12">
      <c r="B22" s="52"/>
    </row>
    <row r="23" spans="1:12">
      <c r="A23" s="110" t="s">
        <v>181</v>
      </c>
      <c r="B23" s="111">
        <v>0.06</v>
      </c>
      <c r="C23" s="112"/>
      <c r="D23" s="110"/>
      <c r="E23" s="110"/>
      <c r="F23" s="110"/>
      <c r="G23" s="110"/>
      <c r="H23" s="110"/>
      <c r="I23" s="110"/>
      <c r="J23" s="110"/>
      <c r="K23" s="110"/>
      <c r="L23" s="110"/>
    </row>
    <row r="24" spans="1:12">
      <c r="A24" s="110" t="s">
        <v>182</v>
      </c>
      <c r="B24" s="110">
        <v>1</v>
      </c>
      <c r="C24" s="113">
        <f>1/(1+$B$23)</f>
        <v>0.94339622641509424</v>
      </c>
      <c r="D24" s="113">
        <f>1/((1+$B$23)*(1+$B$23))</f>
        <v>0.88999644001423983</v>
      </c>
      <c r="E24" s="113">
        <f>1/((1+$B$23)*(1+$B$23)*(1+$B$23))</f>
        <v>0.8396192830323016</v>
      </c>
      <c r="F24" s="113">
        <f>1/((1+$B$23)*(1+$B$23)*(1+$B$23)*(1+$B$23))</f>
        <v>0.79209366323802044</v>
      </c>
      <c r="G24" s="113">
        <f>1/((1+$B$23)*(1+$B$23)*(1+$B$23)*(1+$B$23)*(1+$B$23))</f>
        <v>0.74725817286605689</v>
      </c>
      <c r="H24" s="113">
        <f>1/((1+$B$23)*(1+$B$23)*(1+$B$23)*(1+$B$23)*(1+$B$23)*(1+$B$23))</f>
        <v>0.70496054043967626</v>
      </c>
      <c r="I24" s="113">
        <f>1/((1+$B$23)*(1+$B$23)*(1+$B$23)*(1+$B$23)*(1+$B$23)*(1+$B$23)*(1+$B$23))</f>
        <v>0.6650571136223361</v>
      </c>
      <c r="J24" s="113">
        <f>1/((1+$B$23)*(1+$B$23)*(1+$B$23)*(1+$B$23)*(1+$B$23)*(1+$B$23)*(1+$B$23)*(1+$B$23))</f>
        <v>0.62741237134182648</v>
      </c>
      <c r="K24" s="113">
        <f>1/((1+$B$23)*(1+$B$23)*(1+$B$23)*(1+$B$23)*(1+$B$23)*(1+$B$23)*(1+$B$23)*(1+$B$23)*(1+$B$23))</f>
        <v>0.59189846353002495</v>
      </c>
      <c r="L24" s="110"/>
    </row>
    <row r="25" spans="1:12">
      <c r="A25" s="110" t="s">
        <v>183</v>
      </c>
      <c r="B25" s="110">
        <f>B4+B9+B11+B5+B6</f>
        <v>22500000</v>
      </c>
      <c r="C25" s="110">
        <f>C4+C9+C11+C5+C6</f>
        <v>64573664</v>
      </c>
      <c r="D25" s="110">
        <f t="shared" ref="D25:K25" si="5">D4+D9+D11</f>
        <v>93028281.687692299</v>
      </c>
      <c r="E25" s="110">
        <f t="shared" si="5"/>
        <v>101408141.50030771</v>
      </c>
      <c r="F25" s="110">
        <f t="shared" si="5"/>
        <v>108679865.31623079</v>
      </c>
      <c r="G25" s="110">
        <f t="shared" si="5"/>
        <v>115880881.68946154</v>
      </c>
      <c r="H25" s="110">
        <f t="shared" si="5"/>
        <v>119596455.76900768</v>
      </c>
      <c r="I25" s="110">
        <f t="shared" si="5"/>
        <v>130814768.80744269</v>
      </c>
      <c r="J25" s="110">
        <f t="shared" si="5"/>
        <v>142116418.94792441</v>
      </c>
      <c r="K25" s="110">
        <f t="shared" si="5"/>
        <v>153518202.38797647</v>
      </c>
      <c r="L25" s="110"/>
    </row>
    <row r="26" spans="1:12">
      <c r="A26" s="110" t="s">
        <v>184</v>
      </c>
      <c r="B26" s="110">
        <f>B25*B24</f>
        <v>22500000</v>
      </c>
      <c r="C26" s="110">
        <f>C25*C24</f>
        <v>60918550.943396218</v>
      </c>
      <c r="D26" s="110">
        <f t="shared" ref="D26:K26" si="6">D25*D24</f>
        <v>82794839.522688046</v>
      </c>
      <c r="E26" s="110">
        <f t="shared" si="6"/>
        <v>85144231.060126543</v>
      </c>
      <c r="F26" s="110">
        <f t="shared" si="6"/>
        <v>86084632.638547927</v>
      </c>
      <c r="G26" s="110">
        <f t="shared" si="6"/>
        <v>86592935.921374738</v>
      </c>
      <c r="H26" s="110">
        <f t="shared" si="6"/>
        <v>84310782.0935895</v>
      </c>
      <c r="I26" s="110">
        <f t="shared" si="6"/>
        <v>86999292.562251046</v>
      </c>
      <c r="J26" s="110">
        <f t="shared" si="6"/>
        <v>89165599.418725729</v>
      </c>
      <c r="K26" s="110">
        <f t="shared" si="6"/>
        <v>90867188.117334679</v>
      </c>
      <c r="L26" s="110"/>
    </row>
    <row r="27" spans="1:12">
      <c r="A27" s="110" t="s">
        <v>185</v>
      </c>
      <c r="B27" s="110">
        <f>B10+B12+B14+B16+B18+B20+B7+B13+B8</f>
        <v>17500000</v>
      </c>
      <c r="C27" s="110">
        <f t="shared" ref="C27:K27" si="7">C10+C12+C14+C16+C18+C20+C7+C13</f>
        <v>57430747.91230768</v>
      </c>
      <c r="D27" s="110">
        <f t="shared" si="7"/>
        <v>85820996.387384608</v>
      </c>
      <c r="E27" s="110">
        <f t="shared" si="7"/>
        <v>93755281.384076938</v>
      </c>
      <c r="F27" s="110">
        <f t="shared" si="7"/>
        <v>100652137.82676925</v>
      </c>
      <c r="G27" s="110">
        <f t="shared" si="7"/>
        <v>110963729.12045386</v>
      </c>
      <c r="H27" s="110">
        <f t="shared" si="7"/>
        <v>110287139.16156501</v>
      </c>
      <c r="I27" s="110">
        <f t="shared" si="7"/>
        <v>117029951.05951829</v>
      </c>
      <c r="J27" s="110">
        <f t="shared" si="7"/>
        <v>123755966.75994791</v>
      </c>
      <c r="K27" s="110">
        <f t="shared" si="7"/>
        <v>130468211.43496649</v>
      </c>
      <c r="L27" s="110"/>
    </row>
    <row r="28" spans="1:12">
      <c r="A28" s="110" t="s">
        <v>186</v>
      </c>
      <c r="B28" s="110">
        <f>B27*B24</f>
        <v>17500000</v>
      </c>
      <c r="C28" s="110">
        <f>C27*C24</f>
        <v>54179950.860667616</v>
      </c>
      <c r="D28" s="110">
        <f t="shared" ref="D28:K28" si="8">D27*D24</f>
        <v>76380381.263247237</v>
      </c>
      <c r="E28" s="110">
        <f t="shared" si="8"/>
        <v>78718742.13619037</v>
      </c>
      <c r="F28" s="110">
        <f t="shared" si="8"/>
        <v>79725920.563943774</v>
      </c>
      <c r="G28" s="110">
        <f t="shared" si="8"/>
        <v>82918553.47695443</v>
      </c>
      <c r="H28" s="110">
        <f t="shared" si="8"/>
        <v>77748081.226882651</v>
      </c>
      <c r="I28" s="110">
        <f t="shared" si="8"/>
        <v>77831601.459006488</v>
      </c>
      <c r="J28" s="110">
        <f t="shared" si="8"/>
        <v>77646024.572559178</v>
      </c>
      <c r="K28" s="110">
        <f t="shared" si="8"/>
        <v>77223933.887867093</v>
      </c>
      <c r="L28" s="110"/>
    </row>
    <row r="29" spans="1:12">
      <c r="A29" s="110"/>
      <c r="B29" s="110"/>
      <c r="C29" s="110"/>
      <c r="D29" s="110"/>
      <c r="E29" s="110"/>
      <c r="F29" s="110"/>
      <c r="G29" s="110"/>
      <c r="H29" s="110"/>
      <c r="I29" s="110"/>
      <c r="J29" s="110"/>
      <c r="K29" s="110"/>
      <c r="L29" s="110"/>
    </row>
    <row r="30" spans="1:12">
      <c r="A30" s="110" t="s">
        <v>187</v>
      </c>
      <c r="B30" s="110">
        <f>B25-B27</f>
        <v>5000000</v>
      </c>
      <c r="C30" s="110">
        <f>C25-C27</f>
        <v>7142916.0876923203</v>
      </c>
      <c r="D30" s="110">
        <f>D25-D27</f>
        <v>7207285.3003076911</v>
      </c>
      <c r="E30" s="110">
        <f t="shared" ref="E30:K30" si="9">E25-E27</f>
        <v>7652860.1162307709</v>
      </c>
      <c r="F30" s="110">
        <f t="shared" si="9"/>
        <v>8027727.4894615412</v>
      </c>
      <c r="G30" s="110">
        <f t="shared" si="9"/>
        <v>4917152.5690076798</v>
      </c>
      <c r="H30" s="110">
        <f t="shared" si="9"/>
        <v>9309316.607442677</v>
      </c>
      <c r="I30" s="110">
        <f t="shared" si="9"/>
        <v>13784817.747924402</v>
      </c>
      <c r="J30" s="110">
        <f t="shared" si="9"/>
        <v>18360452.187976494</v>
      </c>
      <c r="K30" s="110">
        <f t="shared" si="9"/>
        <v>23049990.953009978</v>
      </c>
      <c r="L30" s="110"/>
    </row>
    <row r="31" spans="1:12">
      <c r="A31" s="110" t="s">
        <v>188</v>
      </c>
      <c r="B31" s="110">
        <f>B26-B28</f>
        <v>5000000</v>
      </c>
      <c r="C31" s="110">
        <f>C30*C24</f>
        <v>6738600.0827286039</v>
      </c>
      <c r="D31" s="110">
        <f t="shared" ref="D31:K31" si="10">D30*D24</f>
        <v>6414458.2594408067</v>
      </c>
      <c r="E31" s="110">
        <f t="shared" si="10"/>
        <v>6425488.9239361761</v>
      </c>
      <c r="F31" s="110">
        <f t="shared" si="10"/>
        <v>6358712.074604149</v>
      </c>
      <c r="G31" s="110">
        <f t="shared" si="10"/>
        <v>3674382.4444203167</v>
      </c>
      <c r="H31" s="110">
        <f t="shared" si="10"/>
        <v>6562700.8667068435</v>
      </c>
      <c r="I31" s="110">
        <f t="shared" si="10"/>
        <v>9167691.1032445543</v>
      </c>
      <c r="J31" s="110">
        <f t="shared" si="10"/>
        <v>11519574.846166559</v>
      </c>
      <c r="K31" s="110">
        <f t="shared" si="10"/>
        <v>13643254.229467582</v>
      </c>
      <c r="L31" s="110">
        <f>SUM(C31:K31)</f>
        <v>70504862.830715582</v>
      </c>
    </row>
    <row r="32" spans="1:12">
      <c r="C32" s="52"/>
      <c r="D32" s="52"/>
      <c r="E32" s="52"/>
      <c r="F32" s="52"/>
      <c r="G32" s="52"/>
    </row>
  </sheetData>
  <pageMargins left="0.7" right="0.7" top="0.75" bottom="0.75" header="0.3" footer="0.3"/>
  <pageSetup scale="60"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FAADB1-212F-431E-A926-791FC9CE0F57}">
  <sheetPr>
    <pageSetUpPr fitToPage="1"/>
  </sheetPr>
  <dimension ref="A1:J29"/>
  <sheetViews>
    <sheetView topLeftCell="A14" workbookViewId="0">
      <selection activeCell="B14" sqref="B14"/>
    </sheetView>
  </sheetViews>
  <sheetFormatPr defaultRowHeight="14"/>
  <cols>
    <col min="1" max="1" width="40.36328125" style="6" bestFit="1" customWidth="1"/>
    <col min="2" max="10" width="16.08984375" style="6" bestFit="1" customWidth="1"/>
    <col min="11" max="11" width="12.54296875" style="6" bestFit="1" customWidth="1"/>
    <col min="12" max="16384" width="8.7265625" style="6"/>
  </cols>
  <sheetData>
    <row r="1" spans="1:10">
      <c r="A1" s="5" t="s">
        <v>164</v>
      </c>
    </row>
    <row r="2" spans="1:10" s="5" customFormat="1">
      <c r="A2" s="128" t="s">
        <v>3</v>
      </c>
      <c r="B2" s="136" t="s">
        <v>47</v>
      </c>
      <c r="C2" s="136"/>
      <c r="D2" s="136"/>
      <c r="E2" s="136"/>
      <c r="F2" s="136"/>
      <c r="G2" s="136"/>
      <c r="H2" s="136"/>
      <c r="I2" s="136"/>
      <c r="J2" s="136"/>
    </row>
    <row r="3" spans="1:10" s="5" customFormat="1">
      <c r="A3" s="128"/>
      <c r="B3" s="122" t="s">
        <v>38</v>
      </c>
      <c r="C3" s="122" t="s">
        <v>39</v>
      </c>
      <c r="D3" s="122" t="s">
        <v>40</v>
      </c>
      <c r="E3" s="122" t="s">
        <v>41</v>
      </c>
      <c r="F3" s="122" t="s">
        <v>42</v>
      </c>
      <c r="G3" s="122" t="s">
        <v>43</v>
      </c>
      <c r="H3" s="122" t="s">
        <v>44</v>
      </c>
      <c r="I3" s="122" t="s">
        <v>45</v>
      </c>
      <c r="J3" s="122" t="s">
        <v>46</v>
      </c>
    </row>
    <row r="4" spans="1:10">
      <c r="A4" s="7" t="s">
        <v>240</v>
      </c>
      <c r="B4" s="95">
        <v>0.6</v>
      </c>
      <c r="C4" s="95">
        <v>0.65</v>
      </c>
      <c r="D4" s="95">
        <v>0.7</v>
      </c>
      <c r="E4" s="95">
        <v>0.75</v>
      </c>
      <c r="F4" s="95">
        <v>0.8</v>
      </c>
      <c r="G4" s="95">
        <v>0.85</v>
      </c>
      <c r="H4" s="95">
        <v>0.9</v>
      </c>
      <c r="I4" s="95">
        <v>0.95</v>
      </c>
      <c r="J4" s="95">
        <v>1</v>
      </c>
    </row>
    <row r="5" spans="1:10">
      <c r="A5" s="7" t="s">
        <v>271</v>
      </c>
      <c r="B5" s="96">
        <f>$B$14*B4</f>
        <v>5225760</v>
      </c>
      <c r="C5" s="96">
        <f t="shared" ref="C5:J5" si="0">$B$14*C4</f>
        <v>5661240</v>
      </c>
      <c r="D5" s="96">
        <f t="shared" si="0"/>
        <v>6096720</v>
      </c>
      <c r="E5" s="96">
        <f t="shared" si="0"/>
        <v>6532200</v>
      </c>
      <c r="F5" s="96">
        <f t="shared" si="0"/>
        <v>6967680</v>
      </c>
      <c r="G5" s="96">
        <f t="shared" si="0"/>
        <v>7403160</v>
      </c>
      <c r="H5" s="96">
        <f t="shared" si="0"/>
        <v>7838640</v>
      </c>
      <c r="I5" s="96">
        <f t="shared" si="0"/>
        <v>8274120</v>
      </c>
      <c r="J5" s="96">
        <f t="shared" si="0"/>
        <v>8709600</v>
      </c>
    </row>
    <row r="6" spans="1:10">
      <c r="A6" s="7" t="s">
        <v>268</v>
      </c>
      <c r="B6" s="96">
        <f>B5*2/3</f>
        <v>3483840</v>
      </c>
      <c r="C6" s="96">
        <f t="shared" ref="C6:J6" si="1">C5*2/3</f>
        <v>3774160</v>
      </c>
      <c r="D6" s="96">
        <f t="shared" si="1"/>
        <v>4064480</v>
      </c>
      <c r="E6" s="96">
        <f t="shared" si="1"/>
        <v>4354800</v>
      </c>
      <c r="F6" s="96">
        <f t="shared" si="1"/>
        <v>4645120</v>
      </c>
      <c r="G6" s="96">
        <f t="shared" si="1"/>
        <v>4935440</v>
      </c>
      <c r="H6" s="96">
        <f t="shared" si="1"/>
        <v>5225760</v>
      </c>
      <c r="I6" s="96">
        <f t="shared" si="1"/>
        <v>5516080</v>
      </c>
      <c r="J6" s="96">
        <f t="shared" si="1"/>
        <v>5806400</v>
      </c>
    </row>
    <row r="7" spans="1:10">
      <c r="A7" s="7" t="s">
        <v>283</v>
      </c>
      <c r="B7" s="72">
        <f>B5-B6</f>
        <v>1741920</v>
      </c>
      <c r="C7" s="72">
        <f t="shared" ref="C7:J7" si="2">C5-C6</f>
        <v>1887080</v>
      </c>
      <c r="D7" s="72">
        <f t="shared" si="2"/>
        <v>2032240</v>
      </c>
      <c r="E7" s="72">
        <f t="shared" si="2"/>
        <v>2177400</v>
      </c>
      <c r="F7" s="72">
        <f t="shared" si="2"/>
        <v>2322560</v>
      </c>
      <c r="G7" s="72">
        <f t="shared" si="2"/>
        <v>2467720</v>
      </c>
      <c r="H7" s="72">
        <f t="shared" si="2"/>
        <v>2612880</v>
      </c>
      <c r="I7" s="72">
        <f t="shared" si="2"/>
        <v>2758040</v>
      </c>
      <c r="J7" s="72">
        <f t="shared" si="2"/>
        <v>2903200</v>
      </c>
    </row>
    <row r="8" spans="1:10">
      <c r="A8" s="7" t="s">
        <v>269</v>
      </c>
      <c r="B8" s="72">
        <f>B6*$C$18</f>
        <v>73160640</v>
      </c>
      <c r="C8" s="72">
        <f>C6*$C$18*1.1</f>
        <v>87183096</v>
      </c>
      <c r="D8" s="72">
        <f t="shared" ref="D8:J8" si="3">D6*$C$18*1.1</f>
        <v>93889488.000000015</v>
      </c>
      <c r="E8" s="72">
        <f t="shared" si="3"/>
        <v>100595880.00000001</v>
      </c>
      <c r="F8" s="72">
        <f t="shared" si="3"/>
        <v>107302272.00000001</v>
      </c>
      <c r="G8" s="72">
        <f t="shared" si="3"/>
        <v>114008664.00000001</v>
      </c>
      <c r="H8" s="72">
        <f t="shared" si="3"/>
        <v>120715056.00000001</v>
      </c>
      <c r="I8" s="72">
        <f t="shared" si="3"/>
        <v>127421448.00000001</v>
      </c>
      <c r="J8" s="72">
        <f t="shared" si="3"/>
        <v>134127840.00000001</v>
      </c>
    </row>
    <row r="9" spans="1:10">
      <c r="A9" s="7" t="s">
        <v>284</v>
      </c>
      <c r="B9" s="72">
        <f>B7*$E$18</f>
        <v>1306440</v>
      </c>
      <c r="C9" s="72">
        <f>C7*$E$18*1.1</f>
        <v>1556841.0000000002</v>
      </c>
      <c r="D9" s="72">
        <f t="shared" ref="D9:J9" si="4">D7*$E$18*1.1</f>
        <v>1676598.0000000002</v>
      </c>
      <c r="E9" s="72">
        <f t="shared" si="4"/>
        <v>1796355.0000000002</v>
      </c>
      <c r="F9" s="72">
        <f t="shared" si="4"/>
        <v>1916112.0000000002</v>
      </c>
      <c r="G9" s="72">
        <f t="shared" si="4"/>
        <v>2035869.0000000002</v>
      </c>
      <c r="H9" s="72">
        <f t="shared" si="4"/>
        <v>2155626</v>
      </c>
      <c r="I9" s="72">
        <f t="shared" si="4"/>
        <v>2275383</v>
      </c>
      <c r="J9" s="72">
        <f t="shared" si="4"/>
        <v>2395140</v>
      </c>
    </row>
    <row r="10" spans="1:10">
      <c r="A10" s="7" t="s">
        <v>270</v>
      </c>
      <c r="B10" s="72">
        <f>B9+B8</f>
        <v>74467080</v>
      </c>
      <c r="C10" s="72">
        <f t="shared" ref="C10:J10" si="5">C9+C8</f>
        <v>88739937</v>
      </c>
      <c r="D10" s="72">
        <f t="shared" si="5"/>
        <v>95566086.000000015</v>
      </c>
      <c r="E10" s="72">
        <f t="shared" si="5"/>
        <v>102392235.00000001</v>
      </c>
      <c r="F10" s="72">
        <f t="shared" si="5"/>
        <v>109218384.00000001</v>
      </c>
      <c r="G10" s="72">
        <f t="shared" si="5"/>
        <v>116044533.00000001</v>
      </c>
      <c r="H10" s="72">
        <f t="shared" si="5"/>
        <v>122870682.00000001</v>
      </c>
      <c r="I10" s="72">
        <f t="shared" si="5"/>
        <v>129696831.00000001</v>
      </c>
      <c r="J10" s="72">
        <f t="shared" si="5"/>
        <v>136522980</v>
      </c>
    </row>
    <row r="11" spans="1:10">
      <c r="B11" s="32"/>
      <c r="C11" s="32"/>
      <c r="D11" s="32"/>
      <c r="E11" s="32"/>
      <c r="F11" s="32"/>
      <c r="G11" s="32"/>
      <c r="H11" s="32"/>
      <c r="I11" s="32"/>
      <c r="J11" s="32"/>
    </row>
    <row r="12" spans="1:10">
      <c r="A12" s="5" t="s">
        <v>259</v>
      </c>
    </row>
    <row r="14" spans="1:10">
      <c r="A14" s="6" t="s">
        <v>239</v>
      </c>
      <c r="B14" s="87">
        <f>3629*8*300</f>
        <v>8709600</v>
      </c>
      <c r="C14" s="97" t="s">
        <v>310</v>
      </c>
      <c r="E14" s="98"/>
    </row>
    <row r="15" spans="1:10">
      <c r="A15" s="6" t="s">
        <v>255</v>
      </c>
      <c r="B15" s="99" t="s">
        <v>285</v>
      </c>
    </row>
    <row r="17" spans="1:10" s="104" customFormat="1" ht="58" customHeight="1">
      <c r="A17" s="100" t="s">
        <v>165</v>
      </c>
      <c r="B17" s="101" t="s">
        <v>166</v>
      </c>
      <c r="C17" s="102" t="s">
        <v>257</v>
      </c>
      <c r="D17" s="101" t="s">
        <v>256</v>
      </c>
      <c r="E17" s="103" t="s">
        <v>281</v>
      </c>
    </row>
    <row r="18" spans="1:10" s="104" customFormat="1">
      <c r="A18" s="100" t="s">
        <v>167</v>
      </c>
      <c r="B18" s="105">
        <f>B14</f>
        <v>8709600</v>
      </c>
      <c r="C18" s="106">
        <v>21</v>
      </c>
      <c r="D18" s="107">
        <v>18.5</v>
      </c>
      <c r="E18" s="108">
        <v>0.75</v>
      </c>
    </row>
    <row r="20" spans="1:10">
      <c r="A20" s="5" t="s">
        <v>258</v>
      </c>
      <c r="B20" s="137" t="s">
        <v>47</v>
      </c>
      <c r="C20" s="137"/>
      <c r="D20" s="137"/>
      <c r="E20" s="137"/>
      <c r="F20" s="137"/>
      <c r="G20" s="137"/>
      <c r="H20" s="137"/>
      <c r="I20" s="137"/>
      <c r="J20" s="137"/>
    </row>
    <row r="21" spans="1:10">
      <c r="A21" s="7"/>
      <c r="B21" s="109" t="s">
        <v>38</v>
      </c>
      <c r="C21" s="109" t="s">
        <v>39</v>
      </c>
      <c r="D21" s="109" t="s">
        <v>40</v>
      </c>
      <c r="E21" s="109" t="s">
        <v>41</v>
      </c>
      <c r="F21" s="109" t="s">
        <v>42</v>
      </c>
      <c r="G21" s="109" t="s">
        <v>43</v>
      </c>
      <c r="H21" s="109" t="s">
        <v>44</v>
      </c>
      <c r="I21" s="109" t="s">
        <v>45</v>
      </c>
      <c r="J21" s="109" t="s">
        <v>46</v>
      </c>
    </row>
    <row r="22" spans="1:10">
      <c r="A22" s="7" t="s">
        <v>260</v>
      </c>
      <c r="B22" s="84">
        <v>0</v>
      </c>
      <c r="C22" s="73">
        <f>B25</f>
        <v>34838.399999999907</v>
      </c>
      <c r="D22" s="73">
        <f t="shared" ref="D22:J22" si="6">C25</f>
        <v>72580</v>
      </c>
      <c r="E22" s="73">
        <f t="shared" si="6"/>
        <v>113224.79999999981</v>
      </c>
      <c r="F22" s="73">
        <f t="shared" si="6"/>
        <v>156772.79999999981</v>
      </c>
      <c r="G22" s="73">
        <f t="shared" si="6"/>
        <v>203224</v>
      </c>
      <c r="H22" s="73">
        <f t="shared" si="6"/>
        <v>153869.59999999963</v>
      </c>
      <c r="I22" s="73">
        <f t="shared" si="6"/>
        <v>101612</v>
      </c>
      <c r="J22" s="73">
        <f t="shared" si="6"/>
        <v>46451.200000000186</v>
      </c>
    </row>
    <row r="23" spans="1:10">
      <c r="A23" s="7" t="s">
        <v>261</v>
      </c>
      <c r="B23" s="73">
        <f>B6</f>
        <v>3483840</v>
      </c>
      <c r="C23" s="73">
        <f t="shared" ref="C23:J23" si="7">C6</f>
        <v>3774160</v>
      </c>
      <c r="D23" s="73">
        <f t="shared" si="7"/>
        <v>4064480</v>
      </c>
      <c r="E23" s="73">
        <f t="shared" si="7"/>
        <v>4354800</v>
      </c>
      <c r="F23" s="73">
        <f t="shared" si="7"/>
        <v>4645120</v>
      </c>
      <c r="G23" s="73">
        <f t="shared" si="7"/>
        <v>4935440</v>
      </c>
      <c r="H23" s="73">
        <f t="shared" si="7"/>
        <v>5225760</v>
      </c>
      <c r="I23" s="73">
        <f t="shared" si="7"/>
        <v>5516080</v>
      </c>
      <c r="J23" s="73">
        <f t="shared" si="7"/>
        <v>5806400</v>
      </c>
    </row>
    <row r="24" spans="1:10">
      <c r="A24" s="7" t="s">
        <v>49</v>
      </c>
      <c r="B24" s="73">
        <f>B6*99%</f>
        <v>3449001.6</v>
      </c>
      <c r="C24" s="73">
        <f t="shared" ref="C24:F24" si="8">C6*99%</f>
        <v>3736418.4</v>
      </c>
      <c r="D24" s="73">
        <f t="shared" si="8"/>
        <v>4023835.2</v>
      </c>
      <c r="E24" s="73">
        <f t="shared" si="8"/>
        <v>4311252</v>
      </c>
      <c r="F24" s="73">
        <f t="shared" si="8"/>
        <v>4598668.8</v>
      </c>
      <c r="G24" s="73">
        <f>G6*101%</f>
        <v>4984794.4000000004</v>
      </c>
      <c r="H24" s="73">
        <f t="shared" ref="H24:J24" si="9">H6*101%</f>
        <v>5278017.5999999996</v>
      </c>
      <c r="I24" s="73">
        <f t="shared" si="9"/>
        <v>5571240.7999999998</v>
      </c>
      <c r="J24" s="73">
        <f t="shared" si="9"/>
        <v>5864464</v>
      </c>
    </row>
    <row r="25" spans="1:10">
      <c r="A25" s="7" t="s">
        <v>262</v>
      </c>
      <c r="B25" s="73">
        <f>B22+B23-B24</f>
        <v>34838.399999999907</v>
      </c>
      <c r="C25" s="73">
        <f t="shared" ref="C25:J25" si="10">C22+C23-C24</f>
        <v>72580</v>
      </c>
      <c r="D25" s="73">
        <f t="shared" si="10"/>
        <v>113224.79999999981</v>
      </c>
      <c r="E25" s="73">
        <f t="shared" si="10"/>
        <v>156772.79999999981</v>
      </c>
      <c r="F25" s="73">
        <f t="shared" si="10"/>
        <v>203224</v>
      </c>
      <c r="G25" s="73">
        <f t="shared" si="10"/>
        <v>153869.59999999963</v>
      </c>
      <c r="H25" s="73">
        <f t="shared" si="10"/>
        <v>101612</v>
      </c>
      <c r="I25" s="73">
        <f t="shared" si="10"/>
        <v>46451.200000000186</v>
      </c>
      <c r="J25" s="73">
        <f t="shared" si="10"/>
        <v>-11612.799999999814</v>
      </c>
    </row>
    <row r="27" spans="1:10" ht="38" customHeight="1">
      <c r="A27" s="133" t="s">
        <v>286</v>
      </c>
      <c r="B27" s="133"/>
      <c r="C27" s="133"/>
      <c r="D27" s="133"/>
      <c r="E27" s="133"/>
      <c r="F27" s="133"/>
      <c r="G27" s="133"/>
      <c r="H27" s="133"/>
      <c r="I27" s="133"/>
      <c r="J27" s="133"/>
    </row>
    <row r="28" spans="1:10" ht="28.5" customHeight="1">
      <c r="A28" s="133" t="s">
        <v>287</v>
      </c>
      <c r="B28" s="133"/>
      <c r="C28" s="133"/>
      <c r="D28" s="133"/>
      <c r="E28" s="133"/>
      <c r="F28" s="133"/>
      <c r="G28" s="133"/>
      <c r="H28" s="133"/>
      <c r="I28" s="133"/>
      <c r="J28" s="133"/>
    </row>
    <row r="29" spans="1:10">
      <c r="A29" s="6" t="s">
        <v>289</v>
      </c>
    </row>
  </sheetData>
  <mergeCells count="5">
    <mergeCell ref="B2:J2"/>
    <mergeCell ref="B20:J20"/>
    <mergeCell ref="A27:J27"/>
    <mergeCell ref="A28:J28"/>
    <mergeCell ref="A2:A3"/>
  </mergeCells>
  <pageMargins left="0.7" right="0.7" top="0.75" bottom="0.75" header="0.3" footer="0.3"/>
  <pageSetup scale="66"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20B69F-8F0D-45BD-B703-60FCEF10A70F}">
  <dimension ref="A2:J8"/>
  <sheetViews>
    <sheetView workbookViewId="0">
      <selection activeCell="B3" sqref="B3:F8"/>
    </sheetView>
  </sheetViews>
  <sheetFormatPr defaultRowHeight="14"/>
  <cols>
    <col min="1" max="1" width="16.453125" style="6" bestFit="1" customWidth="1"/>
    <col min="2" max="16384" width="8.7265625" style="6"/>
  </cols>
  <sheetData>
    <row r="2" spans="1:10">
      <c r="B2" s="6" t="s">
        <v>38</v>
      </c>
      <c r="C2" s="6" t="s">
        <v>39</v>
      </c>
      <c r="D2" s="6" t="s">
        <v>40</v>
      </c>
      <c r="E2" s="6" t="s">
        <v>41</v>
      </c>
      <c r="F2" s="6" t="s">
        <v>42</v>
      </c>
      <c r="G2" s="6" t="s">
        <v>43</v>
      </c>
      <c r="H2" s="6" t="s">
        <v>44</v>
      </c>
      <c r="I2" s="6" t="s">
        <v>45</v>
      </c>
      <c r="J2" s="6" t="s">
        <v>46</v>
      </c>
    </row>
    <row r="3" spans="1:10">
      <c r="A3" s="6" t="s">
        <v>189</v>
      </c>
      <c r="B3" s="32">
        <f>'Ann 4'!C23/100000</f>
        <v>744.67079999999999</v>
      </c>
      <c r="C3" s="32">
        <f>'Ann 4'!D23/100000</f>
        <v>887.39936999999998</v>
      </c>
      <c r="D3" s="32">
        <f>'Ann 4'!E23/100000</f>
        <v>955.66086000000018</v>
      </c>
      <c r="E3" s="32">
        <f>'Ann 4'!F23/100000</f>
        <v>1023.9223500000002</v>
      </c>
      <c r="F3" s="32">
        <f>'Ann 4'!G23/100000</f>
        <v>1092.1838400000001</v>
      </c>
      <c r="G3" s="32">
        <f>'Ann 4'!H23/100000</f>
        <v>1160.4453300000002</v>
      </c>
      <c r="H3" s="32">
        <f>'Ann 4'!I23/100000</f>
        <v>1228.7068200000001</v>
      </c>
      <c r="I3" s="32">
        <f>'Ann 4'!J23/100000</f>
        <v>1296.9683100000002</v>
      </c>
      <c r="J3" s="32">
        <f>'Ann 4'!K23/100000</f>
        <v>1365.2298000000001</v>
      </c>
    </row>
    <row r="4" spans="1:10">
      <c r="A4" s="6" t="s">
        <v>190</v>
      </c>
      <c r="B4" s="32">
        <f>'Ann 4'!C22/100000</f>
        <v>649.04107999999997</v>
      </c>
      <c r="C4" s="32">
        <f>'Ann 4'!D22/100000</f>
        <v>743.29560549999997</v>
      </c>
      <c r="D4" s="32">
        <f>'Ann 4'!E22/100000</f>
        <v>798.02180900000008</v>
      </c>
      <c r="E4" s="32">
        <f>'Ann 4'!F22/100000</f>
        <v>852.92197650000003</v>
      </c>
      <c r="F4" s="32">
        <f>'Ann 4'!G22/100000</f>
        <v>908.00480620000008</v>
      </c>
      <c r="G4" s="32">
        <f>'Ann 4'!H22/100000</f>
        <v>983.02119121000032</v>
      </c>
      <c r="H4" s="32">
        <f>'Ann 4'!I22/100000</f>
        <v>1039.6584812955</v>
      </c>
      <c r="I4" s="32">
        <f>'Ann 4'!J22/100000</f>
        <v>1096.507225710275</v>
      </c>
      <c r="J4" s="32">
        <f>'Ann 4'!K22/100000</f>
        <v>1153.5779971707886</v>
      </c>
    </row>
    <row r="5" spans="1:10">
      <c r="A5" s="6" t="s">
        <v>191</v>
      </c>
      <c r="B5" s="32">
        <f>B3-B4</f>
        <v>95.62972000000002</v>
      </c>
      <c r="C5" s="32">
        <f t="shared" ref="C5:J5" si="0">C3-C4</f>
        <v>144.10376450000001</v>
      </c>
      <c r="D5" s="32">
        <f t="shared" si="0"/>
        <v>157.63905100000011</v>
      </c>
      <c r="E5" s="32">
        <f t="shared" si="0"/>
        <v>171.00037350000014</v>
      </c>
      <c r="F5" s="32">
        <f t="shared" si="0"/>
        <v>184.17903380000007</v>
      </c>
      <c r="G5" s="32">
        <f t="shared" si="0"/>
        <v>177.42413878999992</v>
      </c>
      <c r="H5" s="32">
        <f t="shared" si="0"/>
        <v>189.04833870450011</v>
      </c>
      <c r="I5" s="32">
        <f t="shared" si="0"/>
        <v>200.46108428972525</v>
      </c>
      <c r="J5" s="32">
        <f t="shared" si="0"/>
        <v>211.65180282921142</v>
      </c>
    </row>
    <row r="6" spans="1:10">
      <c r="A6" s="6" t="s">
        <v>192</v>
      </c>
      <c r="B6" s="32">
        <f>B5</f>
        <v>95.62972000000002</v>
      </c>
      <c r="C6" s="32">
        <f t="shared" ref="C6:J6" si="1">C5</f>
        <v>144.10376450000001</v>
      </c>
      <c r="D6" s="32">
        <f t="shared" si="1"/>
        <v>157.63905100000011</v>
      </c>
      <c r="E6" s="32">
        <f t="shared" si="1"/>
        <v>171.00037350000014</v>
      </c>
      <c r="F6" s="32">
        <f t="shared" si="1"/>
        <v>184.17903380000007</v>
      </c>
      <c r="G6" s="32">
        <f t="shared" si="1"/>
        <v>177.42413878999992</v>
      </c>
      <c r="H6" s="32">
        <f t="shared" si="1"/>
        <v>189.04833870450011</v>
      </c>
      <c r="I6" s="32">
        <f t="shared" si="1"/>
        <v>200.46108428972525</v>
      </c>
      <c r="J6" s="32">
        <f t="shared" si="1"/>
        <v>211.65180282921142</v>
      </c>
    </row>
    <row r="7" spans="1:10">
      <c r="A7" s="6" t="s">
        <v>193</v>
      </c>
      <c r="B7" s="90">
        <f>'Ann 4'!C35/100000</f>
        <v>56.16770076923077</v>
      </c>
      <c r="C7" s="90">
        <f>'Ann 4'!D35/100000</f>
        <v>110.27549526923079</v>
      </c>
      <c r="D7" s="90">
        <f>'Ann 4'!E35/100000</f>
        <v>128.20197407692316</v>
      </c>
      <c r="E7" s="90">
        <f>'Ann 4'!F35/100000</f>
        <v>145.52226388461548</v>
      </c>
      <c r="F7" s="90">
        <f>'Ann 4'!G35/100000</f>
        <v>225.21260485769241</v>
      </c>
      <c r="G7" s="90">
        <f>'Ann 4'!H35/100000</f>
        <v>161.09866122749978</v>
      </c>
      <c r="H7" s="90">
        <f>'Ann 4'!I35/100000</f>
        <v>174.3212994763752</v>
      </c>
      <c r="I7" s="90">
        <f>'Ann 4'!J35/100000</f>
        <v>187.10275597581887</v>
      </c>
      <c r="J7" s="90">
        <f>'Ann 4'!K35/100000</f>
        <v>199.46591328939104</v>
      </c>
    </row>
    <row r="8" spans="1:10">
      <c r="A8" s="6" t="s">
        <v>194</v>
      </c>
      <c r="B8" s="90">
        <f>'Ann 4'!C37/100000</f>
        <v>39.017390538461541</v>
      </c>
      <c r="C8" s="90">
        <f>'Ann 4'!D37/100000</f>
        <v>77.192846688461557</v>
      </c>
      <c r="D8" s="90">
        <f>'Ann 4'!E37/100000</f>
        <v>89.741381853846221</v>
      </c>
      <c r="E8" s="90">
        <f>'Ann 4'!F37/100000</f>
        <v>101.86558471923082</v>
      </c>
      <c r="F8" s="90">
        <f>'Ann 4'!G37/100000</f>
        <v>176.02382340038471</v>
      </c>
      <c r="G8" s="90">
        <f>'Ann 4'!H37/100000</f>
        <v>112.76906285924986</v>
      </c>
      <c r="H8" s="90">
        <f>'Ann 4'!I37/100000</f>
        <v>122.02490963346266</v>
      </c>
      <c r="I8" s="90">
        <f>'Ann 4'!J37/100000</f>
        <v>130.9719291830732</v>
      </c>
      <c r="J8" s="90">
        <f>'Ann 4'!K37/100000</f>
        <v>139.62613930257373</v>
      </c>
    </row>
  </sheetData>
  <pageMargins left="0.7" right="0.7" top="0.75" bottom="0.75" header="0.3" footer="0.3"/>
  <pageSetup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135DA7-00E0-4D15-8196-E2CB4C255341}">
  <sheetPr>
    <pageSetUpPr fitToPage="1"/>
  </sheetPr>
  <dimension ref="A1:L8"/>
  <sheetViews>
    <sheetView topLeftCell="C1" workbookViewId="0">
      <selection activeCell="D5" sqref="D5"/>
    </sheetView>
  </sheetViews>
  <sheetFormatPr defaultRowHeight="14"/>
  <cols>
    <col min="1" max="1" width="8.7265625" style="6"/>
    <col min="2" max="2" width="84" style="6" bestFit="1" customWidth="1"/>
    <col min="3" max="3" width="12.36328125" style="6" bestFit="1" customWidth="1"/>
    <col min="4" max="12" width="12.54296875" style="6" bestFit="1" customWidth="1"/>
    <col min="13" max="16384" width="8.7265625" style="6"/>
  </cols>
  <sheetData>
    <row r="1" spans="1:12">
      <c r="A1" s="5" t="s">
        <v>214</v>
      </c>
      <c r="B1" s="5" t="s">
        <v>215</v>
      </c>
    </row>
    <row r="2" spans="1:12">
      <c r="A2" s="6">
        <v>1</v>
      </c>
      <c r="B2" s="6" t="s">
        <v>308</v>
      </c>
    </row>
    <row r="3" spans="1:12">
      <c r="A3" s="6">
        <v>2</v>
      </c>
      <c r="B3" s="6" t="s">
        <v>216</v>
      </c>
    </row>
    <row r="4" spans="1:12">
      <c r="C4" s="6" t="s">
        <v>169</v>
      </c>
      <c r="D4" s="6">
        <v>80000</v>
      </c>
      <c r="E4" s="6">
        <f>D4*1.05</f>
        <v>84000</v>
      </c>
      <c r="F4" s="6">
        <f t="shared" ref="F4:I4" si="0">E4*1.05</f>
        <v>88200</v>
      </c>
      <c r="G4" s="6">
        <f t="shared" si="0"/>
        <v>92610</v>
      </c>
      <c r="H4" s="6">
        <f t="shared" si="0"/>
        <v>97240.5</v>
      </c>
      <c r="I4" s="6">
        <f t="shared" si="0"/>
        <v>102102.52500000001</v>
      </c>
      <c r="J4" s="6">
        <f t="shared" ref="J4" si="1">I4*1.05</f>
        <v>107207.65125000001</v>
      </c>
      <c r="K4" s="6">
        <f t="shared" ref="K4" si="2">J4*1.05</f>
        <v>112568.03381250001</v>
      </c>
      <c r="L4" s="6">
        <f t="shared" ref="L4" si="3">K4*1.05</f>
        <v>118196.43550312502</v>
      </c>
    </row>
    <row r="5" spans="1:12">
      <c r="C5" s="6" t="s">
        <v>71</v>
      </c>
      <c r="D5" s="6">
        <f>D4*14</f>
        <v>1120000</v>
      </c>
      <c r="E5" s="6">
        <f t="shared" ref="E5:L5" si="4">E4*14</f>
        <v>1176000</v>
      </c>
      <c r="F5" s="6">
        <f t="shared" si="4"/>
        <v>1234800</v>
      </c>
      <c r="G5" s="6">
        <f t="shared" si="4"/>
        <v>1296540</v>
      </c>
      <c r="H5" s="6">
        <f t="shared" si="4"/>
        <v>1361367</v>
      </c>
      <c r="I5" s="6">
        <f t="shared" si="4"/>
        <v>1429435.35</v>
      </c>
      <c r="J5" s="6">
        <f t="shared" si="4"/>
        <v>1500907.1175000002</v>
      </c>
      <c r="K5" s="6">
        <f t="shared" si="4"/>
        <v>1575952.4733750001</v>
      </c>
      <c r="L5" s="6">
        <f t="shared" si="4"/>
        <v>1654750.0970437503</v>
      </c>
    </row>
    <row r="6" spans="1:12">
      <c r="A6" s="6">
        <v>3</v>
      </c>
      <c r="B6" s="6" t="s">
        <v>267</v>
      </c>
    </row>
    <row r="7" spans="1:12">
      <c r="A7" s="6">
        <v>4</v>
      </c>
      <c r="B7" s="6" t="s">
        <v>278</v>
      </c>
    </row>
    <row r="8" spans="1:12">
      <c r="A8" s="6">
        <v>5</v>
      </c>
      <c r="B8" s="6" t="s">
        <v>252</v>
      </c>
    </row>
  </sheetData>
  <pageMargins left="0.7" right="0.7" top="0.75" bottom="0.75" header="0.3" footer="0.3"/>
  <pageSetup scale="56"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78DE0-72C3-4C7B-BCE1-80ED309267B8}">
  <dimension ref="A1:K7"/>
  <sheetViews>
    <sheetView workbookViewId="0">
      <selection activeCell="C5" sqref="C5"/>
    </sheetView>
  </sheetViews>
  <sheetFormatPr defaultRowHeight="14.5"/>
  <cols>
    <col min="3" max="3" width="8.81640625" bestFit="1" customWidth="1"/>
    <col min="4" max="5" width="11.81640625" bestFit="1" customWidth="1"/>
    <col min="6" max="6" width="9.81640625" bestFit="1" customWidth="1"/>
    <col min="7" max="11" width="11.81640625" bestFit="1" customWidth="1"/>
  </cols>
  <sheetData>
    <row r="1" spans="1:11">
      <c r="A1" t="s">
        <v>138</v>
      </c>
    </row>
    <row r="2" spans="1:11">
      <c r="C2" t="s">
        <v>38</v>
      </c>
      <c r="D2" t="s">
        <v>39</v>
      </c>
      <c r="E2" t="s">
        <v>40</v>
      </c>
      <c r="F2" t="s">
        <v>41</v>
      </c>
      <c r="G2" t="s">
        <v>42</v>
      </c>
      <c r="H2" t="s">
        <v>43</v>
      </c>
      <c r="I2" t="s">
        <v>44</v>
      </c>
      <c r="J2" t="s">
        <v>45</v>
      </c>
      <c r="K2" t="s">
        <v>46</v>
      </c>
    </row>
    <row r="3" spans="1:11">
      <c r="A3" t="s">
        <v>139</v>
      </c>
      <c r="C3">
        <f>'Ann 4'!C23/300*270</f>
        <v>67020372</v>
      </c>
      <c r="D3">
        <f>'Ann 4'!D23/300*270</f>
        <v>79865943.299999997</v>
      </c>
      <c r="E3">
        <f>'Ann 4'!E23/300*270</f>
        <v>86009477.400000021</v>
      </c>
      <c r="F3">
        <f>'Ann 4'!F23/300*270</f>
        <v>92153011.500000015</v>
      </c>
      <c r="G3">
        <f>'Ann 4'!G23/300*270</f>
        <v>98296545.600000009</v>
      </c>
      <c r="H3">
        <f>'Ann 4'!H23/300*270</f>
        <v>104440079.70000002</v>
      </c>
      <c r="I3">
        <f>'Ann 4'!I23/300*270</f>
        <v>110583613.80000001</v>
      </c>
      <c r="J3">
        <f>'Ann 4'!J23/300*270</f>
        <v>116727147.90000002</v>
      </c>
      <c r="K3">
        <f>'Ann 4'!K23/300*270</f>
        <v>122870682</v>
      </c>
    </row>
    <row r="4" spans="1:11">
      <c r="A4" t="s">
        <v>140</v>
      </c>
      <c r="C4">
        <v>5000000</v>
      </c>
    </row>
    <row r="5" spans="1:11">
      <c r="A5" t="s">
        <v>141</v>
      </c>
      <c r="C5">
        <v>21492978</v>
      </c>
    </row>
    <row r="7" spans="1:11">
      <c r="A7" t="s">
        <v>142</v>
      </c>
      <c r="C7">
        <f>'Ann 3'!E21</f>
        <v>17400000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Contents</vt:lpstr>
      <vt:lpstr>Ann 1</vt:lpstr>
      <vt:lpstr>Ann 2</vt:lpstr>
      <vt:lpstr>Ann 3</vt:lpstr>
      <vt:lpstr>Ann 4</vt:lpstr>
      <vt:lpstr>Ann 5</vt:lpstr>
      <vt:lpstr>Ann 6</vt:lpstr>
      <vt:lpstr>Ann 8</vt:lpstr>
      <vt:lpstr>Ann 9</vt:lpstr>
      <vt:lpstr>Ann 10</vt:lpstr>
      <vt:lpstr>Ann 11</vt:lpstr>
      <vt:lpstr>Ann 12</vt:lpstr>
      <vt:lpstr>Ann 13</vt:lpstr>
      <vt:lpstr>Ann 14</vt:lpstr>
      <vt:lpstr>Budgets</vt:lpstr>
      <vt:lpstr>For word file</vt:lpstr>
      <vt:lpstr>Assumptions</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Navodita Arya</dc:creator>
  <cp:lastModifiedBy>Ashish Kumar3</cp:lastModifiedBy>
  <cp:lastPrinted>2021-08-11T11:37:00Z</cp:lastPrinted>
  <dcterms:created xsi:type="dcterms:W3CDTF">2021-07-04T07:21:16Z</dcterms:created>
  <dcterms:modified xsi:type="dcterms:W3CDTF">2023-10-20T10:10:08Z</dcterms:modified>
</cp:coreProperties>
</file>