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defaultThemeVersion="166925"/>
  <mc:AlternateContent xmlns:mc="http://schemas.openxmlformats.org/markup-compatibility/2006">
    <mc:Choice Requires="x15">
      <x15ac:absPath xmlns:x15ac="http://schemas.microsoft.com/office/spreadsheetml/2010/11/ac" url="https://grcgt-my.sharepoint.com/personal/ashish_kumar3_in_gt_com/Documents/Desktop/"/>
    </mc:Choice>
  </mc:AlternateContent>
  <xr:revisionPtr revIDLastSave="0" documentId="8_{0DC40C7E-CDE3-4BCC-AB7B-B1F98C0E8C70}" xr6:coauthVersionLast="47" xr6:coauthVersionMax="47" xr10:uidLastSave="{00000000-0000-0000-0000-000000000000}"/>
  <bookViews>
    <workbookView xWindow="-110" yWindow="-110" windowWidth="19420" windowHeight="10300" xr2:uid="{8B0049CE-B79C-4EF0-8FA8-FBBF9BECEBD1}"/>
  </bookViews>
  <sheets>
    <sheet name="Contents" sheetId="21" r:id="rId1"/>
    <sheet name="Ann 1" sheetId="1" r:id="rId2"/>
    <sheet name="Ann 2" sheetId="2" r:id="rId3"/>
    <sheet name="Ann 3" sheetId="3" r:id="rId4"/>
    <sheet name="Ann 4" sheetId="4" r:id="rId5"/>
    <sheet name="Ann 5" sheetId="7" r:id="rId6"/>
    <sheet name="Ann 6" sheetId="23" state="hidden" r:id="rId7"/>
    <sheet name="Ann 8" sheetId="9" r:id="rId8"/>
    <sheet name="Ann 9" sheetId="10" r:id="rId9"/>
    <sheet name="Ann 10" sheetId="13" r:id="rId10"/>
    <sheet name="Ann 11" sheetId="11" r:id="rId11"/>
    <sheet name="Ann 12" sheetId="12" state="hidden" r:id="rId12"/>
    <sheet name="Ann 13" sheetId="14" r:id="rId13"/>
    <sheet name="Ann 14" sheetId="18" r:id="rId14"/>
    <sheet name="Budgets" sheetId="19" r:id="rId15"/>
    <sheet name="For word file" sheetId="20" state="hidden" r:id="rId16"/>
    <sheet name="Assumptions" sheetId="22" r:id="rId17"/>
    <sheet name="Sheet1" sheetId="15" state="hidden" r:id="rId18"/>
  </sheets>
  <externalReferences>
    <externalReference r:id="rId19"/>
  </externalReferenc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23" i="11" l="1"/>
  <c r="E4" i="3"/>
  <c r="D23" i="7"/>
  <c r="E23" i="7"/>
  <c r="F23" i="7"/>
  <c r="G23" i="7"/>
  <c r="H23" i="7"/>
  <c r="I23" i="7"/>
  <c r="J23" i="7"/>
  <c r="K23" i="7"/>
  <c r="C23" i="7"/>
  <c r="C8" i="1"/>
  <c r="B4" i="18"/>
  <c r="C17" i="19"/>
  <c r="C9" i="2"/>
  <c r="E10" i="9" l="1"/>
  <c r="D8" i="11"/>
  <c r="D5" i="22"/>
  <c r="E4" i="22"/>
  <c r="E5" i="22" s="1"/>
  <c r="B8" i="18"/>
  <c r="C30" i="4"/>
  <c r="B13" i="18" s="1"/>
  <c r="G5" i="19"/>
  <c r="G6" i="19" s="1"/>
  <c r="C42" i="4"/>
  <c r="C8" i="4" s="1"/>
  <c r="E18" i="9"/>
  <c r="E12" i="10"/>
  <c r="E8" i="10"/>
  <c r="E6" i="10"/>
  <c r="E13" i="10" l="1"/>
  <c r="E14" i="10"/>
  <c r="E15" i="10" s="1"/>
  <c r="G11" i="19"/>
  <c r="G12" i="19"/>
  <c r="G10" i="19"/>
  <c r="G7" i="4" s="1"/>
  <c r="G27" i="19"/>
  <c r="G28" i="19"/>
  <c r="G8" i="19"/>
  <c r="C26" i="11"/>
  <c r="G7" i="19"/>
  <c r="G9" i="19" s="1"/>
  <c r="F4" i="22"/>
  <c r="G4" i="22" s="1"/>
  <c r="G5" i="22" s="1"/>
  <c r="C5" i="19"/>
  <c r="C11" i="19" s="1"/>
  <c r="D5" i="19"/>
  <c r="E5" i="19"/>
  <c r="K5" i="19"/>
  <c r="J5" i="19"/>
  <c r="F5" i="19"/>
  <c r="I5" i="19"/>
  <c r="H5" i="19"/>
  <c r="C23" i="1"/>
  <c r="E17" i="3"/>
  <c r="E8" i="9"/>
  <c r="C21" i="11"/>
  <c r="C25" i="11" s="1"/>
  <c r="D26" i="4"/>
  <c r="E26" i="4"/>
  <c r="F26" i="4"/>
  <c r="G26" i="4"/>
  <c r="H26" i="4"/>
  <c r="I26" i="4"/>
  <c r="J26" i="4"/>
  <c r="K26" i="4"/>
  <c r="C26" i="4"/>
  <c r="E5" i="3"/>
  <c r="B13" i="23"/>
  <c r="B15" i="23" s="1"/>
  <c r="B17" i="23" s="1"/>
  <c r="B9" i="23"/>
  <c r="H4" i="22" l="1"/>
  <c r="F5" i="22"/>
  <c r="C9" i="4"/>
  <c r="E16" i="10"/>
  <c r="E17" i="10" s="1"/>
  <c r="E18" i="10" s="1"/>
  <c r="H10" i="19"/>
  <c r="H7" i="4" s="1"/>
  <c r="H12" i="19"/>
  <c r="H11" i="19"/>
  <c r="G13" i="19"/>
  <c r="G21" i="4" s="1"/>
  <c r="G12" i="7" s="1"/>
  <c r="F10" i="19"/>
  <c r="F7" i="4" s="1"/>
  <c r="F11" i="19"/>
  <c r="F12" i="19"/>
  <c r="I10" i="19"/>
  <c r="I7" i="4" s="1"/>
  <c r="I11" i="19"/>
  <c r="I12" i="19"/>
  <c r="J10" i="19"/>
  <c r="J7" i="4" s="1"/>
  <c r="J11" i="19"/>
  <c r="J12" i="19"/>
  <c r="D10" i="19"/>
  <c r="D7" i="4" s="1"/>
  <c r="D11" i="19"/>
  <c r="D12" i="19"/>
  <c r="C10" i="19"/>
  <c r="C7" i="4" s="1"/>
  <c r="C12" i="19"/>
  <c r="K10" i="19"/>
  <c r="K7" i="4" s="1"/>
  <c r="K12" i="19"/>
  <c r="K11" i="19"/>
  <c r="E10" i="19"/>
  <c r="E7" i="4" s="1"/>
  <c r="E12" i="19"/>
  <c r="E11" i="19"/>
  <c r="E6" i="19"/>
  <c r="D6" i="19"/>
  <c r="C6" i="19"/>
  <c r="H6" i="19"/>
  <c r="F6" i="19"/>
  <c r="J6" i="19"/>
  <c r="J7" i="19" s="1"/>
  <c r="J9" i="19" s="1"/>
  <c r="I6" i="19"/>
  <c r="K6" i="19"/>
  <c r="I4" i="22"/>
  <c r="H5" i="22"/>
  <c r="C6" i="10"/>
  <c r="E21" i="3"/>
  <c r="C21" i="19"/>
  <c r="A6" i="21"/>
  <c r="D9" i="4" l="1"/>
  <c r="E9" i="4" s="1"/>
  <c r="F9" i="4" s="1"/>
  <c r="G9" i="4" s="1"/>
  <c r="H9" i="4" s="1"/>
  <c r="I9" i="4" s="1"/>
  <c r="J9" i="4" s="1"/>
  <c r="K9" i="4" s="1"/>
  <c r="E13" i="11"/>
  <c r="E19" i="10"/>
  <c r="E20" i="10" s="1"/>
  <c r="G10" i="4"/>
  <c r="G24" i="7" s="1"/>
  <c r="I28" i="19"/>
  <c r="I8" i="19"/>
  <c r="I27" i="19"/>
  <c r="C28" i="19"/>
  <c r="C8" i="19"/>
  <c r="C27" i="19"/>
  <c r="I7" i="19"/>
  <c r="I9" i="19" s="1"/>
  <c r="C7" i="19"/>
  <c r="C9" i="19" s="1"/>
  <c r="D27" i="19"/>
  <c r="D8" i="19"/>
  <c r="D28" i="19"/>
  <c r="J8" i="19"/>
  <c r="J13" i="19" s="1"/>
  <c r="J21" i="4" s="1"/>
  <c r="J12" i="7" s="1"/>
  <c r="J28" i="19"/>
  <c r="J27" i="19"/>
  <c r="D7" i="19"/>
  <c r="D9" i="19" s="1"/>
  <c r="F27" i="19"/>
  <c r="F8" i="19"/>
  <c r="F28" i="19"/>
  <c r="E27" i="19"/>
  <c r="E8" i="19"/>
  <c r="E28" i="19"/>
  <c r="F7" i="19"/>
  <c r="F9" i="19" s="1"/>
  <c r="E7" i="19"/>
  <c r="E9" i="19" s="1"/>
  <c r="K8" i="19"/>
  <c r="K28" i="19"/>
  <c r="K27" i="19"/>
  <c r="H28" i="19"/>
  <c r="H27" i="19"/>
  <c r="H8" i="19"/>
  <c r="K7" i="19"/>
  <c r="K9" i="19" s="1"/>
  <c r="H7" i="19"/>
  <c r="H9" i="19" s="1"/>
  <c r="I5" i="22"/>
  <c r="J4" i="22"/>
  <c r="A13" i="21"/>
  <c r="A11" i="21"/>
  <c r="A10" i="21"/>
  <c r="A9" i="21"/>
  <c r="K47" i="7"/>
  <c r="J47" i="7"/>
  <c r="I34" i="7"/>
  <c r="J34" i="7"/>
  <c r="K34" i="7"/>
  <c r="E9" i="9"/>
  <c r="A14" i="21"/>
  <c r="K13" i="19" l="1"/>
  <c r="K21" i="4" s="1"/>
  <c r="K12" i="7" s="1"/>
  <c r="F13" i="19"/>
  <c r="F21" i="4" s="1"/>
  <c r="F12" i="7" s="1"/>
  <c r="C13" i="19"/>
  <c r="C21" i="4" s="1"/>
  <c r="C12" i="7" s="1"/>
  <c r="J10" i="4"/>
  <c r="J24" i="7" s="1"/>
  <c r="H13" i="19"/>
  <c r="H21" i="4" s="1"/>
  <c r="H12" i="7" s="1"/>
  <c r="E13" i="19"/>
  <c r="E21" i="4" s="1"/>
  <c r="E12" i="7" s="1"/>
  <c r="D13" i="19"/>
  <c r="D21" i="4" s="1"/>
  <c r="D12" i="7" s="1"/>
  <c r="I13" i="19"/>
  <c r="I21" i="4" s="1"/>
  <c r="I12" i="7" s="1"/>
  <c r="K10" i="4"/>
  <c r="K24" i="7" s="1"/>
  <c r="F10" i="4"/>
  <c r="F24" i="7" s="1"/>
  <c r="C29" i="19"/>
  <c r="C13" i="4" s="1"/>
  <c r="J5" i="22"/>
  <c r="K4" i="22"/>
  <c r="A16" i="21"/>
  <c r="A15" i="21"/>
  <c r="A12" i="21"/>
  <c r="A8" i="21"/>
  <c r="A7" i="21"/>
  <c r="A5" i="21"/>
  <c r="A4" i="21"/>
  <c r="C24" i="18"/>
  <c r="K24" i="18"/>
  <c r="J24" i="18"/>
  <c r="I24" i="18"/>
  <c r="H24" i="18"/>
  <c r="G24" i="18"/>
  <c r="F24" i="18"/>
  <c r="E24" i="18"/>
  <c r="D24" i="18"/>
  <c r="E10" i="4" l="1"/>
  <c r="E24" i="7" s="1"/>
  <c r="H10" i="4"/>
  <c r="H24" i="7" s="1"/>
  <c r="D10" i="4"/>
  <c r="D24" i="7" s="1"/>
  <c r="I10" i="4"/>
  <c r="I24" i="7" s="1"/>
  <c r="C10" i="4"/>
  <c r="C24" i="7" s="1"/>
  <c r="D26" i="19"/>
  <c r="D29" i="19" s="1"/>
  <c r="D13" i="4" s="1"/>
  <c r="L4" i="22"/>
  <c r="L5" i="22" s="1"/>
  <c r="K5" i="22"/>
  <c r="I41" i="7"/>
  <c r="J41" i="7"/>
  <c r="K41" i="7"/>
  <c r="E26" i="19" l="1"/>
  <c r="E29" i="19" s="1"/>
  <c r="E13" i="4" s="1"/>
  <c r="C13" i="7"/>
  <c r="D12" i="4"/>
  <c r="C19" i="1"/>
  <c r="D41" i="4"/>
  <c r="D13" i="7" l="1"/>
  <c r="E12" i="4"/>
  <c r="F26" i="19"/>
  <c r="F29" i="19" s="1"/>
  <c r="F13" i="4" s="1"/>
  <c r="D42" i="4"/>
  <c r="D8" i="4" s="1"/>
  <c r="E41" i="4"/>
  <c r="G26" i="19" l="1"/>
  <c r="G29" i="19" s="1"/>
  <c r="G13" i="4" s="1"/>
  <c r="F12" i="4"/>
  <c r="E13" i="7"/>
  <c r="E42" i="4"/>
  <c r="E8" i="4" s="1"/>
  <c r="F41" i="4"/>
  <c r="H26" i="19" l="1"/>
  <c r="H29" i="19" s="1"/>
  <c r="H13" i="4" s="1"/>
  <c r="F13" i="7"/>
  <c r="G12" i="4"/>
  <c r="F42" i="4"/>
  <c r="F8" i="4" s="1"/>
  <c r="G41" i="4"/>
  <c r="I26" i="19" l="1"/>
  <c r="I29" i="19" s="1"/>
  <c r="I13" i="4" s="1"/>
  <c r="H12" i="4"/>
  <c r="G13" i="7"/>
  <c r="K29" i="7"/>
  <c r="G42" i="4"/>
  <c r="G8" i="4" s="1"/>
  <c r="C9" i="18"/>
  <c r="E5" i="11"/>
  <c r="D7" i="11" s="1"/>
  <c r="J3" i="20"/>
  <c r="B3" i="20"/>
  <c r="H41" i="4"/>
  <c r="J26" i="19" l="1"/>
  <c r="J29" i="19" s="1"/>
  <c r="J13" i="4" s="1"/>
  <c r="I12" i="4"/>
  <c r="H13" i="7"/>
  <c r="I29" i="7"/>
  <c r="G29" i="7"/>
  <c r="D9" i="18"/>
  <c r="J29" i="7"/>
  <c r="E9" i="18"/>
  <c r="H29" i="7"/>
  <c r="C11" i="4"/>
  <c r="C14" i="4" s="1"/>
  <c r="C29" i="7"/>
  <c r="G11" i="4"/>
  <c r="G14" i="4" s="1"/>
  <c r="H42" i="4"/>
  <c r="H8" i="4" s="1"/>
  <c r="G3" i="20"/>
  <c r="C3" i="20"/>
  <c r="D3" i="20"/>
  <c r="I3" i="20"/>
  <c r="H3" i="20"/>
  <c r="E3" i="20"/>
  <c r="F3" i="20"/>
  <c r="I41" i="4"/>
  <c r="K26" i="19" l="1"/>
  <c r="K29" i="19" s="1"/>
  <c r="K13" i="4" s="1"/>
  <c r="I13" i="7"/>
  <c r="J12" i="4"/>
  <c r="H11" i="4"/>
  <c r="H14" i="4" s="1"/>
  <c r="D11" i="4"/>
  <c r="D14" i="4" s="1"/>
  <c r="D29" i="7"/>
  <c r="E11" i="4"/>
  <c r="E14" i="4" s="1"/>
  <c r="E29" i="7"/>
  <c r="F11" i="4"/>
  <c r="F14" i="4" s="1"/>
  <c r="F29" i="7"/>
  <c r="I42" i="4"/>
  <c r="J41" i="4"/>
  <c r="J42" i="4" s="1"/>
  <c r="J8" i="4" s="1"/>
  <c r="I8" i="4" l="1"/>
  <c r="I11" i="4" s="1"/>
  <c r="I14" i="4" s="1"/>
  <c r="K13" i="7"/>
  <c r="K12" i="4"/>
  <c r="J13" i="7"/>
  <c r="K41" i="4"/>
  <c r="J11" i="4"/>
  <c r="J14" i="4" s="1"/>
  <c r="C12" i="1"/>
  <c r="C35" i="1"/>
  <c r="J27" i="4"/>
  <c r="K27" i="4"/>
  <c r="K14" i="18" s="1"/>
  <c r="K42" i="4" l="1"/>
  <c r="J14" i="18"/>
  <c r="J46" i="7"/>
  <c r="K46" i="7"/>
  <c r="E6" i="9"/>
  <c r="K8" i="4" l="1"/>
  <c r="K11" i="4" s="1"/>
  <c r="K14" i="4" s="1"/>
  <c r="D9" i="11"/>
  <c r="E9" i="11" l="1"/>
  <c r="E10" i="11" s="1"/>
  <c r="C24" i="11"/>
  <c r="C27" i="11" s="1"/>
  <c r="J48" i="7"/>
  <c r="K48" i="7"/>
  <c r="C12" i="10"/>
  <c r="C20" i="1"/>
  <c r="C16" i="1"/>
  <c r="F8" i="10"/>
  <c r="F7" i="10"/>
  <c r="E7" i="9"/>
  <c r="E11" i="9" s="1"/>
  <c r="E13" i="9" s="1"/>
  <c r="C9" i="1"/>
  <c r="C5" i="2" s="1"/>
  <c r="C41" i="1" l="1"/>
  <c r="D5" i="14" s="1"/>
  <c r="G31" i="4" s="1"/>
  <c r="D6" i="10"/>
  <c r="D12" i="10" s="1"/>
  <c r="D13" i="10" s="1"/>
  <c r="D14" i="10" s="1"/>
  <c r="D11" i="18"/>
  <c r="C7" i="15"/>
  <c r="E11" i="18"/>
  <c r="C13" i="10"/>
  <c r="C3" i="15"/>
  <c r="K6" i="12"/>
  <c r="E5" i="12"/>
  <c r="H6" i="12"/>
  <c r="E6" i="12"/>
  <c r="D6" i="12"/>
  <c r="F6" i="12"/>
  <c r="F5" i="12"/>
  <c r="G5" i="12"/>
  <c r="I6" i="12"/>
  <c r="C10" i="2" l="1"/>
  <c r="C6" i="2"/>
  <c r="C18" i="7" s="1"/>
  <c r="B10" i="13"/>
  <c r="C10" i="7"/>
  <c r="F12" i="10"/>
  <c r="E14" i="11" s="1"/>
  <c r="F6" i="10"/>
  <c r="C32" i="4"/>
  <c r="F13" i="10"/>
  <c r="E14" i="9"/>
  <c r="E12" i="11" s="1"/>
  <c r="F3" i="15"/>
  <c r="F11" i="18"/>
  <c r="C14" i="10"/>
  <c r="F14" i="10" s="1"/>
  <c r="C10" i="13"/>
  <c r="D32" i="4"/>
  <c r="D10" i="7"/>
  <c r="E3" i="15"/>
  <c r="D3" i="15"/>
  <c r="H5" i="12"/>
  <c r="J5" i="12"/>
  <c r="C6" i="12"/>
  <c r="J6" i="12"/>
  <c r="D5" i="12"/>
  <c r="I5" i="12"/>
  <c r="C5" i="12"/>
  <c r="G6" i="12"/>
  <c r="K5" i="12"/>
  <c r="D15" i="10"/>
  <c r="D16" i="10" s="1"/>
  <c r="D17" i="10" s="1"/>
  <c r="C8" i="2" l="1"/>
  <c r="B5" i="18"/>
  <c r="F9" i="10"/>
  <c r="E16" i="9"/>
  <c r="C16" i="4"/>
  <c r="G11" i="18"/>
  <c r="E32" i="4"/>
  <c r="E10" i="7"/>
  <c r="D10" i="13"/>
  <c r="C15" i="10"/>
  <c r="D18" i="10"/>
  <c r="D4" i="14" l="1"/>
  <c r="D12" i="14" s="1"/>
  <c r="D13" i="14" s="1"/>
  <c r="D14" i="14" s="1"/>
  <c r="B6" i="18"/>
  <c r="B25" i="18"/>
  <c r="B7" i="18"/>
  <c r="B27" i="18" s="1"/>
  <c r="B28" i="18" s="1"/>
  <c r="C9" i="7"/>
  <c r="C11" i="7" s="1"/>
  <c r="D9" i="7" s="1"/>
  <c r="D11" i="7" s="1"/>
  <c r="D40" i="7" s="1"/>
  <c r="D16" i="4"/>
  <c r="C18" i="4"/>
  <c r="B21" i="18"/>
  <c r="C4" i="18" s="1"/>
  <c r="C25" i="18" s="1"/>
  <c r="C26" i="18" s="1"/>
  <c r="B15" i="18"/>
  <c r="C10" i="14"/>
  <c r="E10" i="14" s="1"/>
  <c r="C11" i="14"/>
  <c r="E11" i="14" s="1"/>
  <c r="C12" i="14"/>
  <c r="F15" i="10"/>
  <c r="F9" i="18"/>
  <c r="H11" i="18"/>
  <c r="G3" i="15"/>
  <c r="F10" i="7"/>
  <c r="E10" i="13"/>
  <c r="F32" i="4"/>
  <c r="C16" i="10"/>
  <c r="C17" i="10" s="1"/>
  <c r="D19" i="10"/>
  <c r="D20" i="10" s="1"/>
  <c r="C20" i="18" l="1"/>
  <c r="C47" i="7"/>
  <c r="D15" i="14"/>
  <c r="E9" i="7"/>
  <c r="E11" i="7" s="1"/>
  <c r="E40" i="7" s="1"/>
  <c r="C40" i="7"/>
  <c r="E16" i="4"/>
  <c r="D18" i="4"/>
  <c r="E12" i="14"/>
  <c r="C13" i="14"/>
  <c r="D10" i="18"/>
  <c r="B30" i="18"/>
  <c r="B26" i="18"/>
  <c r="B31" i="18" s="1"/>
  <c r="F16" i="10"/>
  <c r="G9" i="18"/>
  <c r="I11" i="18"/>
  <c r="H3" i="15"/>
  <c r="G10" i="7"/>
  <c r="F10" i="13"/>
  <c r="G32" i="4"/>
  <c r="C18" i="10"/>
  <c r="H32" i="4"/>
  <c r="D16" i="14" l="1"/>
  <c r="F9" i="7"/>
  <c r="F11" i="7" s="1"/>
  <c r="F40" i="7" s="1"/>
  <c r="F16" i="4"/>
  <c r="E18" i="4"/>
  <c r="E20" i="4" s="1"/>
  <c r="E13" i="14"/>
  <c r="E17" i="11" s="1"/>
  <c r="E18" i="11" s="1"/>
  <c r="C28" i="11" s="1"/>
  <c r="C29" i="11" s="1"/>
  <c r="C14" i="14"/>
  <c r="D12" i="18"/>
  <c r="E10" i="18"/>
  <c r="D20" i="4"/>
  <c r="D22" i="4" s="1"/>
  <c r="D49" i="7" s="1"/>
  <c r="F17" i="10"/>
  <c r="H9" i="18"/>
  <c r="J11" i="18"/>
  <c r="I3" i="15"/>
  <c r="H10" i="7"/>
  <c r="G10" i="13"/>
  <c r="C19" i="10"/>
  <c r="G9" i="7" l="1"/>
  <c r="G11" i="7" s="1"/>
  <c r="G40" i="7" s="1"/>
  <c r="D17" i="14"/>
  <c r="D20" i="18" s="1"/>
  <c r="E12" i="18"/>
  <c r="G16" i="4"/>
  <c r="F18" i="4"/>
  <c r="F20" i="4" s="1"/>
  <c r="C25" i="4"/>
  <c r="C27" i="4" s="1"/>
  <c r="C14" i="18" s="1"/>
  <c r="E14" i="14"/>
  <c r="C22" i="7"/>
  <c r="C15" i="14"/>
  <c r="F10" i="18"/>
  <c r="C4" i="20"/>
  <c r="C5" i="20" s="1"/>
  <c r="C6" i="20" s="1"/>
  <c r="F18" i="10"/>
  <c r="E22" i="4"/>
  <c r="E49" i="7" s="1"/>
  <c r="D4" i="20"/>
  <c r="C20" i="10"/>
  <c r="F19" i="10"/>
  <c r="I9" i="18"/>
  <c r="K11" i="18"/>
  <c r="I10" i="7"/>
  <c r="I32" i="4"/>
  <c r="H10" i="13"/>
  <c r="I10" i="13"/>
  <c r="J10" i="7"/>
  <c r="J32" i="4"/>
  <c r="H9" i="7" l="1"/>
  <c r="H11" i="7" s="1"/>
  <c r="H40" i="7" s="1"/>
  <c r="D47" i="7"/>
  <c r="D18" i="14"/>
  <c r="H16" i="4"/>
  <c r="G18" i="4"/>
  <c r="G20" i="4" s="1"/>
  <c r="F4" i="20" s="1"/>
  <c r="F5" i="20" s="1"/>
  <c r="F6" i="20" s="1"/>
  <c r="F12" i="18"/>
  <c r="C46" i="7"/>
  <c r="C48" i="7" s="1"/>
  <c r="C41" i="7"/>
  <c r="C42" i="7" s="1"/>
  <c r="C34" i="7"/>
  <c r="E15" i="14"/>
  <c r="C16" i="14"/>
  <c r="G10" i="18"/>
  <c r="F20" i="10"/>
  <c r="F22" i="4"/>
  <c r="F49" i="7" s="1"/>
  <c r="E4" i="20"/>
  <c r="E5" i="20" s="1"/>
  <c r="E6" i="20" s="1"/>
  <c r="D5" i="20"/>
  <c r="D6" i="20" s="1"/>
  <c r="K32" i="4"/>
  <c r="J10" i="13"/>
  <c r="J9" i="18"/>
  <c r="K9" i="18"/>
  <c r="K10" i="7"/>
  <c r="I9" i="7" l="1"/>
  <c r="I11" i="7" s="1"/>
  <c r="J9" i="7" s="1"/>
  <c r="J11" i="7" s="1"/>
  <c r="J40" i="7" s="1"/>
  <c r="D19" i="14"/>
  <c r="G12" i="18"/>
  <c r="I16" i="4"/>
  <c r="H18" i="4"/>
  <c r="H12" i="18" s="1"/>
  <c r="E16" i="14"/>
  <c r="C17" i="14"/>
  <c r="H10" i="18"/>
  <c r="I40" i="7"/>
  <c r="K9" i="7"/>
  <c r="K11" i="7" s="1"/>
  <c r="K40" i="7" s="1"/>
  <c r="G22" i="4"/>
  <c r="G49" i="7" s="1"/>
  <c r="D20" i="14" l="1"/>
  <c r="H20" i="4"/>
  <c r="G4" i="20" s="1"/>
  <c r="G5" i="20" s="1"/>
  <c r="G6" i="20" s="1"/>
  <c r="J16" i="4"/>
  <c r="I18" i="4"/>
  <c r="I20" i="4" s="1"/>
  <c r="H4" i="20" s="1"/>
  <c r="H5" i="20" s="1"/>
  <c r="H6" i="20" s="1"/>
  <c r="E17" i="14"/>
  <c r="D25" i="4" s="1"/>
  <c r="D27" i="4" s="1"/>
  <c r="C18" i="14"/>
  <c r="I10" i="18"/>
  <c r="D21" i="14" l="1"/>
  <c r="E20" i="18"/>
  <c r="E47" i="7"/>
  <c r="I12" i="18"/>
  <c r="K16" i="4"/>
  <c r="K18" i="4" s="1"/>
  <c r="J18" i="4"/>
  <c r="J20" i="4" s="1"/>
  <c r="I4" i="20" s="1"/>
  <c r="I5" i="20" s="1"/>
  <c r="I6" i="20" s="1"/>
  <c r="E18" i="14"/>
  <c r="D22" i="7"/>
  <c r="C19" i="14"/>
  <c r="D14" i="18"/>
  <c r="D46" i="7"/>
  <c r="D48" i="7" s="1"/>
  <c r="D50" i="7" s="1"/>
  <c r="D29" i="4"/>
  <c r="J10" i="18"/>
  <c r="H22" i="4"/>
  <c r="H49" i="7" s="1"/>
  <c r="D22" i="14" l="1"/>
  <c r="J12" i="18"/>
  <c r="D33" i="4"/>
  <c r="C7" i="13"/>
  <c r="C9" i="13" s="1"/>
  <c r="C11" i="13" s="1"/>
  <c r="C13" i="13" s="1"/>
  <c r="C14" i="13" s="1"/>
  <c r="D34" i="4" s="1"/>
  <c r="D16" i="18" s="1"/>
  <c r="E19" i="14"/>
  <c r="C20" i="14"/>
  <c r="D34" i="7"/>
  <c r="D41" i="7"/>
  <c r="D42" i="7" s="1"/>
  <c r="K10" i="18"/>
  <c r="D23" i="14" l="1"/>
  <c r="E20" i="14"/>
  <c r="C21" i="14"/>
  <c r="C7" i="20"/>
  <c r="D35" i="4"/>
  <c r="D36" i="4" s="1"/>
  <c r="K12" i="18"/>
  <c r="K20" i="4"/>
  <c r="J4" i="20" s="1"/>
  <c r="J5" i="20" s="1"/>
  <c r="J6" i="20" s="1"/>
  <c r="I22" i="4"/>
  <c r="I49" i="7" s="1"/>
  <c r="D24" i="14" l="1"/>
  <c r="D18" i="18"/>
  <c r="D27" i="18" s="1"/>
  <c r="D28" i="18" s="1"/>
  <c r="C8" i="20"/>
  <c r="E21" i="14"/>
  <c r="E25" i="4" s="1"/>
  <c r="E27" i="4" s="1"/>
  <c r="C22" i="14"/>
  <c r="D25" i="14" l="1"/>
  <c r="D26" i="14" s="1"/>
  <c r="F47" i="7"/>
  <c r="D37" i="4"/>
  <c r="D19" i="7" s="1"/>
  <c r="E29" i="4"/>
  <c r="E46" i="7"/>
  <c r="E48" i="7" s="1"/>
  <c r="E50" i="7" s="1"/>
  <c r="E14" i="18"/>
  <c r="E22" i="14"/>
  <c r="C23" i="14"/>
  <c r="E22" i="7"/>
  <c r="F20" i="18" l="1"/>
  <c r="D29" i="14"/>
  <c r="D30" i="14" s="1"/>
  <c r="G47" i="7"/>
  <c r="E34" i="7"/>
  <c r="E41" i="7"/>
  <c r="E42" i="7" s="1"/>
  <c r="E23" i="14"/>
  <c r="C24" i="14"/>
  <c r="E33" i="4"/>
  <c r="D7" i="13"/>
  <c r="D9" i="13" s="1"/>
  <c r="D11" i="13" s="1"/>
  <c r="D13" i="13" s="1"/>
  <c r="D14" i="13" s="1"/>
  <c r="E34" i="4" s="1"/>
  <c r="E16" i="18" s="1"/>
  <c r="J22" i="4"/>
  <c r="J3" i="15"/>
  <c r="K3" i="15"/>
  <c r="G20" i="18" l="1"/>
  <c r="D31" i="14"/>
  <c r="D32" i="14" s="1"/>
  <c r="D33" i="14" s="1"/>
  <c r="D34" i="14" s="1"/>
  <c r="H47" i="7"/>
  <c r="D7" i="20"/>
  <c r="E35" i="4"/>
  <c r="E36" i="4" s="1"/>
  <c r="E24" i="14"/>
  <c r="C25" i="14"/>
  <c r="J29" i="4"/>
  <c r="J33" i="4" s="1"/>
  <c r="J49" i="7"/>
  <c r="K22" i="4"/>
  <c r="H20" i="18" l="1"/>
  <c r="D35" i="14"/>
  <c r="D36" i="14" s="1"/>
  <c r="I20" i="18" s="1"/>
  <c r="E25" i="14"/>
  <c r="F25" i="4" s="1"/>
  <c r="F27" i="4" s="1"/>
  <c r="C26" i="14"/>
  <c r="E18" i="18"/>
  <c r="E27" i="18" s="1"/>
  <c r="E28" i="18" s="1"/>
  <c r="D8" i="20"/>
  <c r="I7" i="20"/>
  <c r="I7" i="13"/>
  <c r="I9" i="13" s="1"/>
  <c r="I11" i="13" s="1"/>
  <c r="I13" i="13" s="1"/>
  <c r="I14" i="13" s="1"/>
  <c r="J34" i="4" s="1"/>
  <c r="J16" i="18" s="1"/>
  <c r="K29" i="4"/>
  <c r="K33" i="4" s="1"/>
  <c r="K49" i="7"/>
  <c r="I47" i="7" l="1"/>
  <c r="E37" i="4"/>
  <c r="E19" i="7" s="1"/>
  <c r="F46" i="7"/>
  <c r="F48" i="7" s="1"/>
  <c r="F50" i="7" s="1"/>
  <c r="F29" i="4"/>
  <c r="F14" i="18"/>
  <c r="E26" i="14"/>
  <c r="F22" i="7"/>
  <c r="C27" i="14"/>
  <c r="J7" i="20"/>
  <c r="J35" i="4"/>
  <c r="J36" i="4" s="1"/>
  <c r="J7" i="13"/>
  <c r="J9" i="13" s="1"/>
  <c r="J11" i="13" s="1"/>
  <c r="J13" i="13" s="1"/>
  <c r="J14" i="13" s="1"/>
  <c r="K34" i="4" s="1"/>
  <c r="E27" i="14" l="1"/>
  <c r="C28" i="14"/>
  <c r="F34" i="7"/>
  <c r="F41" i="7"/>
  <c r="F42" i="7" s="1"/>
  <c r="F33" i="4"/>
  <c r="E7" i="13"/>
  <c r="E9" i="13" s="1"/>
  <c r="E11" i="13" s="1"/>
  <c r="E13" i="13" s="1"/>
  <c r="E14" i="13" s="1"/>
  <c r="F34" i="4" s="1"/>
  <c r="F16" i="18" s="1"/>
  <c r="J37" i="4"/>
  <c r="J19" i="7" s="1"/>
  <c r="I8" i="20"/>
  <c r="K35" i="4"/>
  <c r="K36" i="4" s="1"/>
  <c r="K16" i="18"/>
  <c r="E7" i="20" l="1"/>
  <c r="F35" i="4"/>
  <c r="F36" i="4" s="1"/>
  <c r="J18" i="18"/>
  <c r="J27" i="18" s="1"/>
  <c r="K37" i="4"/>
  <c r="K19" i="7" s="1"/>
  <c r="J8" i="20"/>
  <c r="F18" i="18" l="1"/>
  <c r="F27" i="18" s="1"/>
  <c r="F28" i="18" s="1"/>
  <c r="E8" i="20"/>
  <c r="C30" i="14"/>
  <c r="E29" i="14"/>
  <c r="G25" i="4" s="1"/>
  <c r="G27" i="4" s="1"/>
  <c r="G22" i="7"/>
  <c r="J28" i="18"/>
  <c r="K18" i="18"/>
  <c r="K27" i="18" s="1"/>
  <c r="F37" i="4" l="1"/>
  <c r="F19" i="7" s="1"/>
  <c r="G41" i="7"/>
  <c r="G42" i="7" s="1"/>
  <c r="G34" i="7"/>
  <c r="C31" i="14"/>
  <c r="E30" i="14"/>
  <c r="G14" i="18"/>
  <c r="G46" i="7"/>
  <c r="G48" i="7" s="1"/>
  <c r="G50" i="7" s="1"/>
  <c r="G29" i="4"/>
  <c r="G33" i="4" s="1"/>
  <c r="K28" i="18"/>
  <c r="F7" i="13" l="1"/>
  <c r="F9" i="13" s="1"/>
  <c r="F11" i="13" s="1"/>
  <c r="F13" i="13" s="1"/>
  <c r="F14" i="13" s="1"/>
  <c r="G34" i="4" s="1"/>
  <c r="G16" i="18" s="1"/>
  <c r="E31" i="14"/>
  <c r="C32" i="14"/>
  <c r="C33" i="14" l="1"/>
  <c r="E32" i="14"/>
  <c r="F7" i="20"/>
  <c r="G35" i="4"/>
  <c r="G36" i="4" s="1"/>
  <c r="G18" i="18" l="1"/>
  <c r="G27" i="18" s="1"/>
  <c r="G28" i="18" s="1"/>
  <c r="F8" i="20"/>
  <c r="C34" i="14"/>
  <c r="E33" i="14"/>
  <c r="H25" i="4" s="1"/>
  <c r="H27" i="4" s="1"/>
  <c r="H22" i="7"/>
  <c r="G37" i="4" l="1"/>
  <c r="G19" i="7" s="1"/>
  <c r="H46" i="7"/>
  <c r="H48" i="7" s="1"/>
  <c r="H50" i="7" s="1"/>
  <c r="H29" i="4"/>
  <c r="H33" i="4" s="1"/>
  <c r="H14" i="18"/>
  <c r="H34" i="7"/>
  <c r="H41" i="7"/>
  <c r="F43" i="7" s="1"/>
  <c r="E34" i="14"/>
  <c r="C35" i="14"/>
  <c r="C36" i="14" l="1"/>
  <c r="E35" i="14"/>
  <c r="G7" i="13"/>
  <c r="G9" i="13" s="1"/>
  <c r="G11" i="13" s="1"/>
  <c r="G13" i="13" s="1"/>
  <c r="G14" i="13" s="1"/>
  <c r="H34" i="4" s="1"/>
  <c r="H16" i="18" s="1"/>
  <c r="G7" i="20" l="1"/>
  <c r="H35" i="4"/>
  <c r="H36" i="4" s="1"/>
  <c r="C37" i="14"/>
  <c r="E37" i="14" s="1"/>
  <c r="E36" i="14"/>
  <c r="I25" i="4" l="1"/>
  <c r="I27" i="4" s="1"/>
  <c r="I14" i="18" s="1"/>
  <c r="H18" i="18"/>
  <c r="H27" i="18" s="1"/>
  <c r="H28" i="18" s="1"/>
  <c r="G8" i="20"/>
  <c r="I29" i="4" l="1"/>
  <c r="I33" i="4" s="1"/>
  <c r="I46" i="7"/>
  <c r="I48" i="7" s="1"/>
  <c r="H37" i="4"/>
  <c r="H19" i="7" s="1"/>
  <c r="H7" i="13" l="1"/>
  <c r="H9" i="13" s="1"/>
  <c r="H11" i="13" s="1"/>
  <c r="H13" i="13" s="1"/>
  <c r="H14" i="13" s="1"/>
  <c r="I34" i="4" s="1"/>
  <c r="I16" i="18" s="1"/>
  <c r="H7" i="20"/>
  <c r="I35" i="4" l="1"/>
  <c r="I36" i="4" s="1"/>
  <c r="H8" i="20" l="1"/>
  <c r="I18" i="18"/>
  <c r="I27" i="18" s="1"/>
  <c r="I28" i="18" s="1"/>
  <c r="I37" i="4"/>
  <c r="I19" i="7" s="1"/>
  <c r="C12" i="18"/>
  <c r="C15" i="18" s="1"/>
  <c r="C20" i="4"/>
  <c r="C22" i="4" l="1"/>
  <c r="B4" i="20"/>
  <c r="B5" i="20" s="1"/>
  <c r="B6" i="20" s="1"/>
  <c r="C49" i="7" l="1"/>
  <c r="C50" i="7" s="1"/>
  <c r="F51" i="7" s="1"/>
  <c r="C29" i="4"/>
  <c r="C33" i="4" s="1"/>
  <c r="B7" i="13" l="1"/>
  <c r="B9" i="13" s="1"/>
  <c r="B11" i="13" s="1"/>
  <c r="B13" i="13" s="1"/>
  <c r="B14" i="13" s="1"/>
  <c r="C34" i="4" s="1"/>
  <c r="C16" i="18" s="1"/>
  <c r="C17" i="18" l="1"/>
  <c r="C35" i="4"/>
  <c r="B7" i="20"/>
  <c r="B8" i="20" l="1"/>
  <c r="C18" i="18" l="1"/>
  <c r="C27" i="18" s="1"/>
  <c r="C37" i="4"/>
  <c r="C19" i="7" s="1"/>
  <c r="C21" i="7" s="1"/>
  <c r="C35" i="7" l="1"/>
  <c r="C36" i="7" s="1"/>
  <c r="C25" i="7"/>
  <c r="D18" i="7"/>
  <c r="D21" i="7" s="1"/>
  <c r="C19" i="18"/>
  <c r="C21" i="18" s="1"/>
  <c r="C14" i="7" s="1"/>
  <c r="D4" i="18" l="1"/>
  <c r="D15" i="18" s="1"/>
  <c r="C30" i="18"/>
  <c r="C31" i="18" s="1"/>
  <c r="C28" i="18"/>
  <c r="E18" i="7"/>
  <c r="E21" i="7" s="1"/>
  <c r="D25" i="7"/>
  <c r="D35" i="7"/>
  <c r="D36" i="7" s="1"/>
  <c r="E35" i="7" l="1"/>
  <c r="E36" i="7" s="1"/>
  <c r="F18" i="7"/>
  <c r="F21" i="7" s="1"/>
  <c r="E25" i="7"/>
  <c r="D25" i="18"/>
  <c r="D17" i="18"/>
  <c r="D19" i="18" s="1"/>
  <c r="D21" i="18" s="1"/>
  <c r="C15" i="7"/>
  <c r="C28" i="7"/>
  <c r="C30" i="7" s="1"/>
  <c r="E4" i="18" l="1"/>
  <c r="E15" i="18" s="1"/>
  <c r="D14" i="7"/>
  <c r="D30" i="18"/>
  <c r="D31" i="18" s="1"/>
  <c r="D26" i="18"/>
  <c r="F35" i="7"/>
  <c r="F36" i="7" s="1"/>
  <c r="F25" i="7"/>
  <c r="G18" i="7"/>
  <c r="G21" i="7" s="1"/>
  <c r="G35" i="7" l="1"/>
  <c r="G36" i="7" s="1"/>
  <c r="G25" i="7"/>
  <c r="H18" i="7"/>
  <c r="H21" i="7" s="1"/>
  <c r="D28" i="7"/>
  <c r="D30" i="7" s="1"/>
  <c r="D15" i="7"/>
  <c r="E17" i="18"/>
  <c r="E19" i="18" s="1"/>
  <c r="E21" i="18" s="1"/>
  <c r="E25" i="18"/>
  <c r="E14" i="7" l="1"/>
  <c r="F4" i="18"/>
  <c r="E26" i="18"/>
  <c r="E30" i="18"/>
  <c r="E31" i="18" s="1"/>
  <c r="I18" i="7"/>
  <c r="I21" i="7" s="1"/>
  <c r="H25" i="7"/>
  <c r="H35" i="7"/>
  <c r="H36" i="7" s="1"/>
  <c r="J18" i="7" l="1"/>
  <c r="J21" i="7" s="1"/>
  <c r="I35" i="7"/>
  <c r="I36" i="7" s="1"/>
  <c r="I25" i="7"/>
  <c r="F25" i="18"/>
  <c r="F15" i="18"/>
  <c r="F17" i="18" s="1"/>
  <c r="F19" i="18" s="1"/>
  <c r="F21" i="18" s="1"/>
  <c r="E28" i="7"/>
  <c r="E30" i="7" s="1"/>
  <c r="E15" i="7"/>
  <c r="F14" i="7" l="1"/>
  <c r="G4" i="18"/>
  <c r="F30" i="18"/>
  <c r="F31" i="18" s="1"/>
  <c r="F26" i="18"/>
  <c r="J25" i="7"/>
  <c r="K18" i="7"/>
  <c r="K21" i="7" s="1"/>
  <c r="J35" i="7"/>
  <c r="J36" i="7" s="1"/>
  <c r="K35" i="7" l="1"/>
  <c r="K36" i="7" s="1"/>
  <c r="F37" i="7" s="1"/>
  <c r="K25" i="7"/>
  <c r="G15" i="18"/>
  <c r="G17" i="18" s="1"/>
  <c r="G19" i="18" s="1"/>
  <c r="G21" i="18" s="1"/>
  <c r="G25" i="18"/>
  <c r="F15" i="7"/>
  <c r="F28" i="7"/>
  <c r="F30" i="7" s="1"/>
  <c r="G30" i="18" l="1"/>
  <c r="G31" i="18" s="1"/>
  <c r="G26" i="18"/>
  <c r="H4" i="18"/>
  <c r="G14" i="7"/>
  <c r="G28" i="7" l="1"/>
  <c r="G30" i="7" s="1"/>
  <c r="G15" i="7"/>
  <c r="H25" i="18"/>
  <c r="H15" i="18"/>
  <c r="H17" i="18" s="1"/>
  <c r="H19" i="18" s="1"/>
  <c r="H21" i="18" s="1"/>
  <c r="H26" i="18" l="1"/>
  <c r="H30" i="18"/>
  <c r="H31" i="18" s="1"/>
  <c r="I4" i="18"/>
  <c r="H14" i="7"/>
  <c r="H15" i="7" l="1"/>
  <c r="H28" i="7"/>
  <c r="H30" i="7" s="1"/>
  <c r="I25" i="18"/>
  <c r="I15" i="18"/>
  <c r="I17" i="18" s="1"/>
  <c r="I19" i="18" s="1"/>
  <c r="I21" i="18" s="1"/>
  <c r="J4" i="18" l="1"/>
  <c r="I14" i="7"/>
  <c r="I26" i="18"/>
  <c r="I30" i="18"/>
  <c r="I31" i="18" s="1"/>
  <c r="I15" i="7" l="1"/>
  <c r="I28" i="7"/>
  <c r="I30" i="7" s="1"/>
  <c r="J25" i="18"/>
  <c r="J15" i="18"/>
  <c r="J17" i="18" s="1"/>
  <c r="J19" i="18" s="1"/>
  <c r="J21" i="18" s="1"/>
  <c r="K4" i="18" l="1"/>
  <c r="J14" i="7"/>
  <c r="J30" i="18"/>
  <c r="J31" i="18" s="1"/>
  <c r="J26" i="18"/>
  <c r="J15" i="7" l="1"/>
  <c r="J28" i="7"/>
  <c r="J30" i="7" s="1"/>
  <c r="K25" i="18"/>
  <c r="K15" i="18"/>
  <c r="K17" i="18" s="1"/>
  <c r="K19" i="18" s="1"/>
  <c r="K21" i="18" s="1"/>
  <c r="K14" i="7" s="1"/>
  <c r="K28" i="7" l="1"/>
  <c r="K30" i="7" s="1"/>
  <c r="F31" i="7" s="1"/>
  <c r="K15" i="7"/>
  <c r="K30" i="18"/>
  <c r="K31" i="18" s="1"/>
  <c r="L31" i="18" s="1"/>
  <c r="K26" i="18"/>
</calcChain>
</file>

<file path=xl/sharedStrings.xml><?xml version="1.0" encoding="utf-8"?>
<sst xmlns="http://schemas.openxmlformats.org/spreadsheetml/2006/main" count="462" uniqueCount="338">
  <si>
    <t>Annexure 1 - Estimated cost of the project</t>
  </si>
  <si>
    <t>Estimated cost of project</t>
  </si>
  <si>
    <t xml:space="preserve">Sr. No. </t>
  </si>
  <si>
    <t>Particulars</t>
  </si>
  <si>
    <t>Grand Total (in lakhs)</t>
  </si>
  <si>
    <t>(a)</t>
  </si>
  <si>
    <t>Land and site development</t>
  </si>
  <si>
    <t>Land (Lease in name of company)</t>
  </si>
  <si>
    <t>Total</t>
  </si>
  <si>
    <t>Civil Work</t>
  </si>
  <si>
    <t>Plant and Machinery (indegenous)</t>
  </si>
  <si>
    <t>Plant and Machinery</t>
  </si>
  <si>
    <t>Miscellanoeus Fixed Assets</t>
  </si>
  <si>
    <t>Cost</t>
  </si>
  <si>
    <t>Working Capital Margin</t>
  </si>
  <si>
    <t>Preliminary Expenses</t>
  </si>
  <si>
    <t>Security Deposit</t>
  </si>
  <si>
    <t>Pre-Operative Expense</t>
  </si>
  <si>
    <t>(for 6 months upto the date od commencement of commercial production)</t>
  </si>
  <si>
    <t>Establisment and Travelling and Other Expenses</t>
  </si>
  <si>
    <t>(b)</t>
  </si>
  <si>
    <t>Legal and Misc Expense</t>
  </si>
  <si>
    <t>Total Cost of Project</t>
  </si>
  <si>
    <t>Annexure 2 - Means of Finance</t>
  </si>
  <si>
    <t>Sr. No.</t>
  </si>
  <si>
    <t>Item</t>
  </si>
  <si>
    <t>Promoter's equity</t>
  </si>
  <si>
    <t>Eligible Assistance</t>
  </si>
  <si>
    <t>Term Loan</t>
  </si>
  <si>
    <t>CC Limit</t>
  </si>
  <si>
    <t>Annexure 3 - Complete Estimate of Civil and Plant and Machinery</t>
  </si>
  <si>
    <t>Units</t>
  </si>
  <si>
    <t>Amt</t>
  </si>
  <si>
    <t>2. Plant and machinery</t>
  </si>
  <si>
    <t>Total Plant and Machinery</t>
  </si>
  <si>
    <t>Total fixed Assets</t>
  </si>
  <si>
    <t>Annexure 4 - Estimated Cost of Production</t>
  </si>
  <si>
    <t>Sr. No</t>
  </si>
  <si>
    <t>Description</t>
  </si>
  <si>
    <t>I</t>
  </si>
  <si>
    <t>II</t>
  </si>
  <si>
    <t>III</t>
  </si>
  <si>
    <t>IV</t>
  </si>
  <si>
    <t>V</t>
  </si>
  <si>
    <t>VI</t>
  </si>
  <si>
    <t>VII</t>
  </si>
  <si>
    <t>VIII</t>
  </si>
  <si>
    <t>IX</t>
  </si>
  <si>
    <t>Year ending March 31st</t>
  </si>
  <si>
    <t>No of Working months</t>
  </si>
  <si>
    <t>Sales</t>
  </si>
  <si>
    <t>Administrative salaries and wages</t>
  </si>
  <si>
    <t>S. No.</t>
  </si>
  <si>
    <t>Designation</t>
  </si>
  <si>
    <t>In no.</t>
  </si>
  <si>
    <t>Salary per person per month</t>
  </si>
  <si>
    <t>i.</t>
  </si>
  <si>
    <t>ii.</t>
  </si>
  <si>
    <t>Total annual wages</t>
  </si>
  <si>
    <t>Annual increase in wages</t>
  </si>
  <si>
    <t>iii.</t>
  </si>
  <si>
    <t>Computation of Depreciation</t>
  </si>
  <si>
    <t>Annexure 9 - Computation of Depreciation</t>
  </si>
  <si>
    <t>Pre operatives</t>
  </si>
  <si>
    <t>Contingencies</t>
  </si>
  <si>
    <t>Building and civil work</t>
  </si>
  <si>
    <t>Misc Fixed Asset</t>
  </si>
  <si>
    <t>Amount in lakhs</t>
  </si>
  <si>
    <t>Rates of Depreciation</t>
  </si>
  <si>
    <t>Year</t>
  </si>
  <si>
    <t>Annexure 11- Break even analysis (At maximum capacity utilization)</t>
  </si>
  <si>
    <t>Break even capacity at maximum capacity utilixzation</t>
  </si>
  <si>
    <t>Variable cost</t>
  </si>
  <si>
    <t>- Running and maintenance cost</t>
  </si>
  <si>
    <t>- Interest on Working capital</t>
  </si>
  <si>
    <t>Contribution</t>
  </si>
  <si>
    <t>Wages and salaries</t>
  </si>
  <si>
    <t>- electricity expense</t>
  </si>
  <si>
    <t>Depreciation</t>
  </si>
  <si>
    <t>Fixed cost</t>
  </si>
  <si>
    <t>Sales price per kg</t>
  </si>
  <si>
    <t>Annexure 12 - Profitability statement</t>
  </si>
  <si>
    <t>Years</t>
  </si>
  <si>
    <t>Vegetable procument expense</t>
  </si>
  <si>
    <t>Fruits procurement expense</t>
  </si>
  <si>
    <t>Direct Expenses</t>
  </si>
  <si>
    <t>Cost of Sales</t>
  </si>
  <si>
    <t>Expected sales revenue</t>
  </si>
  <si>
    <t>Gross Profit</t>
  </si>
  <si>
    <t>Financial expense</t>
  </si>
  <si>
    <t>Interest on Term Loan</t>
  </si>
  <si>
    <t>Annexure 13 - Repayment schedule</t>
  </si>
  <si>
    <t>Repayment schedule</t>
  </si>
  <si>
    <t>Amount of Loan (in lakhs)</t>
  </si>
  <si>
    <t>Rate of interest</t>
  </si>
  <si>
    <t>Moratorium period</t>
  </si>
  <si>
    <t>Quarter</t>
  </si>
  <si>
    <t>Balance outstanding</t>
  </si>
  <si>
    <t>Interest</t>
  </si>
  <si>
    <t>Principal instalment</t>
  </si>
  <si>
    <t>Operating profits (PBT)</t>
  </si>
  <si>
    <t>depreciation</t>
  </si>
  <si>
    <t>Net Profit before Tax</t>
  </si>
  <si>
    <t>Profits after Tax</t>
  </si>
  <si>
    <t>Annexure 10 - Calculation of Income tax</t>
  </si>
  <si>
    <t>Calculation of Income Tax</t>
  </si>
  <si>
    <t>Net profit before tax</t>
  </si>
  <si>
    <t>Add- dep on SLM</t>
  </si>
  <si>
    <t>Sub total</t>
  </si>
  <si>
    <t>Less- Dep on WDV</t>
  </si>
  <si>
    <t>Less - Deductions</t>
  </si>
  <si>
    <t>Taxable profits</t>
  </si>
  <si>
    <t>Income tax @30%</t>
  </si>
  <si>
    <t>Profit transfer to balance sheet</t>
  </si>
  <si>
    <t>Annexure 5- Projected balance sheet</t>
  </si>
  <si>
    <t>Projected Baalance sheet</t>
  </si>
  <si>
    <t>Asset</t>
  </si>
  <si>
    <t>Fixed Capital expenditure</t>
  </si>
  <si>
    <t>Gross Block</t>
  </si>
  <si>
    <t>Less- Depreciation</t>
  </si>
  <si>
    <t>net Block</t>
  </si>
  <si>
    <t>Sundry debtors</t>
  </si>
  <si>
    <t>Cash/ bank balance</t>
  </si>
  <si>
    <t>Liabilities</t>
  </si>
  <si>
    <t>Capital</t>
  </si>
  <si>
    <t>Add- Profit</t>
  </si>
  <si>
    <t>Less- Drawings</t>
  </si>
  <si>
    <t>Closing capital</t>
  </si>
  <si>
    <t>term Loan</t>
  </si>
  <si>
    <t>Total liabilities</t>
  </si>
  <si>
    <t>Total assets</t>
  </si>
  <si>
    <t>Current Ratio</t>
  </si>
  <si>
    <t>Current Assets</t>
  </si>
  <si>
    <t>Current Liabilities</t>
  </si>
  <si>
    <t>Debt Equity ratio</t>
  </si>
  <si>
    <t>Debt</t>
  </si>
  <si>
    <t>Equity</t>
  </si>
  <si>
    <t>Ratio</t>
  </si>
  <si>
    <t>cash flow statement</t>
  </si>
  <si>
    <t>Sales realized</t>
  </si>
  <si>
    <t>Term loan</t>
  </si>
  <si>
    <t>assisstance</t>
  </si>
  <si>
    <t>less- Purchase of assets</t>
  </si>
  <si>
    <t>Debt service coverage ratio</t>
  </si>
  <si>
    <t>Interest on loan (TL + WC)</t>
  </si>
  <si>
    <t>Net operating income</t>
  </si>
  <si>
    <t>ratio</t>
  </si>
  <si>
    <t>Instalment of loan</t>
  </si>
  <si>
    <t>A</t>
  </si>
  <si>
    <t>B</t>
  </si>
  <si>
    <t>Average</t>
  </si>
  <si>
    <t>Fixed asset coverage ratio</t>
  </si>
  <si>
    <t>Fixed assets</t>
  </si>
  <si>
    <t>6 months</t>
  </si>
  <si>
    <t>Annexure 8 - Details of Mnpower</t>
  </si>
  <si>
    <t>Details of Manpower</t>
  </si>
  <si>
    <t>Security</t>
  </si>
  <si>
    <t>Creditors</t>
  </si>
  <si>
    <t>Total manpower</t>
  </si>
  <si>
    <t>opening balance</t>
  </si>
  <si>
    <t>Add: Sales realizations</t>
  </si>
  <si>
    <t>Less: Interest payments</t>
  </si>
  <si>
    <t>Working capital</t>
  </si>
  <si>
    <t>Interest on WC Loan</t>
  </si>
  <si>
    <t>Site Development</t>
  </si>
  <si>
    <t>Sales Budget</t>
  </si>
  <si>
    <t>Products</t>
  </si>
  <si>
    <t>Production at 100% capacity</t>
  </si>
  <si>
    <t>Output</t>
  </si>
  <si>
    <t>Electricity expense</t>
  </si>
  <si>
    <t>Usage in units</t>
  </si>
  <si>
    <t>Cost of Production</t>
  </si>
  <si>
    <t>Sub Total</t>
  </si>
  <si>
    <t>Total depreciation for the year</t>
  </si>
  <si>
    <t>Preliminary Expense</t>
  </si>
  <si>
    <t>Less: Payment made to creditors of previos year</t>
  </si>
  <si>
    <t>Add: Receipts from debtors of previos year</t>
  </si>
  <si>
    <t>Less: Payments made for current year purchase</t>
  </si>
  <si>
    <t>Less: Distrubutions made from profits</t>
  </si>
  <si>
    <t>Less: Income tax</t>
  </si>
  <si>
    <t>Less: Principal repayment of loan</t>
  </si>
  <si>
    <t>Closing cash balance</t>
  </si>
  <si>
    <t>PV dicounting rate</t>
  </si>
  <si>
    <t>PVF</t>
  </si>
  <si>
    <t>Inflows</t>
  </si>
  <si>
    <t>PV of Inflows</t>
  </si>
  <si>
    <t>Outflows</t>
  </si>
  <si>
    <t>PV of Outflows</t>
  </si>
  <si>
    <t>Net cash inflow</t>
  </si>
  <si>
    <t>Net Present value</t>
  </si>
  <si>
    <t>Turnover</t>
  </si>
  <si>
    <t>Cost Of operations</t>
  </si>
  <si>
    <t>Gross profit</t>
  </si>
  <si>
    <t>EBITDA</t>
  </si>
  <si>
    <t>Profit before tax</t>
  </si>
  <si>
    <t>Profit after tax</t>
  </si>
  <si>
    <t>Total BEP %</t>
  </si>
  <si>
    <t>Interest on TL</t>
  </si>
  <si>
    <t>Add: Capital</t>
  </si>
  <si>
    <t>Add: Loan disbursement</t>
  </si>
  <si>
    <t>Less: Purchase of asset</t>
  </si>
  <si>
    <t>Contents Table</t>
  </si>
  <si>
    <t>Contents</t>
  </si>
  <si>
    <t>Link</t>
  </si>
  <si>
    <t>Ann 1'!A1</t>
  </si>
  <si>
    <t>Ann 2'!A1</t>
  </si>
  <si>
    <t>Ann 4'!A1</t>
  </si>
  <si>
    <t>Ann 5'!A1</t>
  </si>
  <si>
    <t>Ann 8'!A1</t>
  </si>
  <si>
    <t>Ann 9'!A1</t>
  </si>
  <si>
    <t>Ann 10'!A1</t>
  </si>
  <si>
    <t>Ann 11'!A1</t>
  </si>
  <si>
    <t>Ann 13'!A1</t>
  </si>
  <si>
    <t>Assumptions!A1</t>
  </si>
  <si>
    <t>Budgets!A1</t>
  </si>
  <si>
    <t>S. no.</t>
  </si>
  <si>
    <t>Assumptions</t>
  </si>
  <si>
    <t>Electricity usage in units is given below</t>
  </si>
  <si>
    <t>iv.</t>
  </si>
  <si>
    <t>Annual cost</t>
  </si>
  <si>
    <t>Ann 3'!A1</t>
  </si>
  <si>
    <t>Break-even point is the condition when an entity generate sufficient revenue that it can meet its fixed expense after deducting any variable expense, i.e., the point where contribution is equal to the fixed expense.</t>
  </si>
  <si>
    <t>Annexure 6 - requirement of Power and Fuel</t>
  </si>
  <si>
    <t>Fuel</t>
  </si>
  <si>
    <t>Mileage</t>
  </si>
  <si>
    <t>requirement of Fuel</t>
  </si>
  <si>
    <t>Speed of tractor</t>
  </si>
  <si>
    <t>Fuel requirement as per the operative hours</t>
  </si>
  <si>
    <t xml:space="preserve"> km per litre</t>
  </si>
  <si>
    <t xml:space="preserve"> km per hour</t>
  </si>
  <si>
    <t>litres</t>
  </si>
  <si>
    <t>- For Tractor</t>
  </si>
  <si>
    <t>- For Pwer tiller</t>
  </si>
  <si>
    <t>Litre per hour</t>
  </si>
  <si>
    <t>Fuel requirement during the year for 30 units</t>
  </si>
  <si>
    <t>Litres</t>
  </si>
  <si>
    <t>Total fuel requirement</t>
  </si>
  <si>
    <t>Fuel cost per litre</t>
  </si>
  <si>
    <t>Total fuel cost at 100% capacity utilization</t>
  </si>
  <si>
    <t>1. Civil Work</t>
  </si>
  <si>
    <t>Total Civil Work</t>
  </si>
  <si>
    <t>Per annum capacity in kgs</t>
  </si>
  <si>
    <t>Estimated ocupational capacity</t>
  </si>
  <si>
    <t>Less: Pre incorporation expense</t>
  </si>
  <si>
    <t>Electricity fixed charge</t>
  </si>
  <si>
    <t>BEP in kgs</t>
  </si>
  <si>
    <t>Less: Fixed costs</t>
  </si>
  <si>
    <t>Rs. per kg</t>
  </si>
  <si>
    <t>Service Centre Infrastructure</t>
  </si>
  <si>
    <t>3. Miscellanoeus Fixed Asset</t>
  </si>
  <si>
    <t>Civil work for building</t>
  </si>
  <si>
    <t>Factory manager</t>
  </si>
  <si>
    <t>Accountant cum cashier</t>
  </si>
  <si>
    <t>Mechanic</t>
  </si>
  <si>
    <t xml:space="preserve">v. </t>
  </si>
  <si>
    <t>Labour</t>
  </si>
  <si>
    <t>Add: benefits @ 10%</t>
  </si>
  <si>
    <t>Insurance cost @ 2% of purchase cost</t>
  </si>
  <si>
    <t>It is assumed that insuarance cost is 2% of purchase price and this will increase 5% annually</t>
  </si>
  <si>
    <t>Add: Opening Stock</t>
  </si>
  <si>
    <t>Less: Closing Stock</t>
  </si>
  <si>
    <t>225 days</t>
  </si>
  <si>
    <t>Operational days</t>
  </si>
  <si>
    <t>purchase price per kg</t>
  </si>
  <si>
    <t>sales prices per kg</t>
  </si>
  <si>
    <t>Production Budget</t>
  </si>
  <si>
    <t>Estimation of Production capacity</t>
  </si>
  <si>
    <t>Opening Stock</t>
  </si>
  <si>
    <t>Production</t>
  </si>
  <si>
    <t>Closing Stock</t>
  </si>
  <si>
    <t>Input paddy cost</t>
  </si>
  <si>
    <t>Less: Land purchase</t>
  </si>
  <si>
    <t>Closing stock</t>
  </si>
  <si>
    <t xml:space="preserve">It is assumed that 2/3rd capacity of rice mill is used to process own produce, i.e., to process paddy into rice which is further sold by rice mill in the market. The balance 1/3rd capacity is used to process the government produce, for such processing rice mill charges minimal processing charges. </t>
  </si>
  <si>
    <t>In case of processing own produce, paddy is procured from farmers and processed for selling. While for government produce, paddy is provided to mill for further processing and only processing charges are taken for such work.</t>
  </si>
  <si>
    <t>Processing charges for government produce per kg</t>
  </si>
  <si>
    <t>Total revenue</t>
  </si>
  <si>
    <t>Total Financial expense</t>
  </si>
  <si>
    <t>Variable costs</t>
  </si>
  <si>
    <t>Inut paddy cost</t>
  </si>
  <si>
    <t>Electricity cost</t>
  </si>
  <si>
    <t>Running and maintenance</t>
  </si>
  <si>
    <t>Interest on working capital</t>
  </si>
  <si>
    <t>Contribution per unit</t>
  </si>
  <si>
    <t>Fixed charges for office</t>
  </si>
  <si>
    <t>Fixed charge for office</t>
  </si>
  <si>
    <t>2. Electricity usage in units is given below</t>
  </si>
  <si>
    <t>3. It is assumed that insuarance cost is 2% of purchase price and this will increase 5% annually</t>
  </si>
  <si>
    <t>See note</t>
  </si>
  <si>
    <t>Note- It is assumed that some of the labour remains even in the off days, considering working days to be 300 days</t>
  </si>
  <si>
    <t>Input output ratio is taken to be 70%</t>
  </si>
  <si>
    <t>Running and Manintenance expense @10% of sales</t>
  </si>
  <si>
    <t>Sale of by products -Husk</t>
  </si>
  <si>
    <t>Sale of by products -Bran</t>
  </si>
  <si>
    <t>Assumed that Husk being by product of producing the rice, is 10% of the total production capacity. Sale price of husk per kg is rs. 10</t>
  </si>
  <si>
    <t>4. Closing stock is valued at Rs 38 (avg cost)</t>
  </si>
  <si>
    <t>2. assumed that 30 days of sales are average debtors maintained by the business</t>
  </si>
  <si>
    <t>Annexure 14 - Cash flow statement</t>
  </si>
  <si>
    <t>1. Electricity are semi-fixed cost. Rs. 100,000 pa is fixed, balance is variable at Rs. 10 per unit usage</t>
  </si>
  <si>
    <t>Electricity are semi-fixed cost. Rs. 100,000 pa is fixed, balance is variable at Rs. 10 per unit usage</t>
  </si>
  <si>
    <t>A.</t>
  </si>
  <si>
    <t>B.</t>
  </si>
  <si>
    <t>C.</t>
  </si>
  <si>
    <t>D.</t>
  </si>
  <si>
    <t>E.</t>
  </si>
  <si>
    <t>F.</t>
  </si>
  <si>
    <t>G.</t>
  </si>
  <si>
    <t>H.</t>
  </si>
  <si>
    <t>I.</t>
  </si>
  <si>
    <t>Production capacity (kgs) [A. X Total capacity]</t>
  </si>
  <si>
    <t>Own produce (kgs) [B. X 2/3]</t>
  </si>
  <si>
    <t>Government produce (kgs) [B. X 1/3]</t>
  </si>
  <si>
    <t>Revenue from sale of own produce [C. X Sale price per kg]</t>
  </si>
  <si>
    <t>Revenue from processing government produce [D. X Processing charges]</t>
  </si>
  <si>
    <t>Input required (kgs) [C. X Input output ratio]</t>
  </si>
  <si>
    <t>Ann 14'!A1</t>
  </si>
  <si>
    <t>Income Tax/ savings on tax</t>
  </si>
  <si>
    <t>Distribution of profits (40%)</t>
  </si>
  <si>
    <t>Assumed that 30 days of sales are average debtors maintained by the business</t>
  </si>
  <si>
    <t>Land</t>
  </si>
  <si>
    <t>Project Margin</t>
  </si>
  <si>
    <t>Butterfly separator</t>
  </si>
  <si>
    <t>Destoner</t>
  </si>
  <si>
    <t>Paddy dehusker</t>
  </si>
  <si>
    <t>Rubber sheller</t>
  </si>
  <si>
    <t>Rice whitener</t>
  </si>
  <si>
    <t>Rice drum grader</t>
  </si>
  <si>
    <t>Bucket elevator</t>
  </si>
  <si>
    <t>Weighing machine at platform</t>
  </si>
  <si>
    <t>Form fill and seal machine</t>
  </si>
  <si>
    <t>Sales proce per kg is Rs. 38 (considering single type of output rice) which will increase 5% annually</t>
  </si>
  <si>
    <t>Insurance</t>
  </si>
  <si>
    <t>1. asssumed that 60 days of purchases are average creditors maintained</t>
  </si>
  <si>
    <t>Asssumed that 60 days of purchases are average creditors maintained</t>
  </si>
  <si>
    <t>For the first year of operation the break-even capacity comes at 9.59% capacity, it is because of the fact that in the Initial year the fixed expense of consultancy for project is taken in to consideration for calculation of BEP. considering our operational capacity in year 1 to be 75% which is more than the BEP, hence we can conclude that the project is sound enough to cover its fixed expense.</t>
  </si>
  <si>
    <t>DPR with subsidy</t>
  </si>
  <si>
    <t>Other income - Subsidy for repayment of loan</t>
  </si>
  <si>
    <t>Amount of subsidy (in lakhs)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</si>
</sst>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43" formatCode="_(* #,##0.00_);_(* \(#,##0.00\);_(* &quot;-&quot;??_);_(@_)"/>
    <numFmt numFmtId="164" formatCode="_(* #,##0_);_(* \(#,##0\);_(* &quot;-&quot;??_);_(@_)"/>
    <numFmt numFmtId="165" formatCode="_(* #,##0.0_);_(* \(#,##0.0\);_(* &quot;-&quot;?_);_(@_)"/>
    <numFmt numFmtId="166" formatCode="_(* #,##0.000000000_);_(* \(#,##0.000000000\);_(* &quot;-&quot;??_);_(@_)"/>
    <numFmt numFmtId="167" formatCode="0.000"/>
    <numFmt numFmtId="168" formatCode="_(* #,##0.000_);_(* \(#,##0.000\);_(* &quot;-&quot;??_);_(@_)"/>
    <numFmt numFmtId="169" formatCode="_(* #,##0.0000_);_(* \(#,##0.0000\);_(* &quot;-&quot;??_);_(@_)"/>
  </numFmts>
  <fonts count="11">
    <font>
      <sz val="11"/>
      <color theme="1"/>
      <name val="Calibri"/>
      <family val="2"/>
      <scheme val="minor"/>
    </font>
    <font>
      <sz val="11"/>
      <color theme="1"/>
      <name val="Calibri"/>
      <family val="2"/>
      <scheme val="minor"/>
    </font>
    <font>
      <b/>
      <sz val="11"/>
      <color theme="1"/>
      <name val="Calibri"/>
      <family val="2"/>
      <scheme val="minor"/>
    </font>
    <font>
      <u/>
      <sz val="11"/>
      <color theme="1"/>
      <name val="Calibri"/>
      <family val="2"/>
      <scheme val="minor"/>
    </font>
    <font>
      <u/>
      <sz val="11"/>
      <color theme="10"/>
      <name val="Calibri"/>
      <family val="2"/>
      <scheme val="minor"/>
    </font>
    <font>
      <b/>
      <sz val="11"/>
      <color theme="1"/>
      <name val="Adobe Devanagari"/>
      <family val="1"/>
    </font>
    <font>
      <sz val="11"/>
      <color theme="1"/>
      <name val="Adobe Devanagari"/>
      <family val="1"/>
    </font>
    <font>
      <u/>
      <sz val="11"/>
      <color theme="10"/>
      <name val="Adobe Devanagari"/>
      <family val="1"/>
    </font>
    <font>
      <u/>
      <sz val="11"/>
      <color theme="1"/>
      <name val="Adobe Devanagari"/>
      <family val="1"/>
    </font>
    <font>
      <sz val="11"/>
      <name val="Adobe Devanagari"/>
      <family val="1"/>
    </font>
    <font>
      <sz val="11"/>
      <color theme="0"/>
      <name val="Adobe Devanagari"/>
      <family val="1"/>
    </font>
  </fonts>
  <fills count="4">
    <fill>
      <patternFill patternType="none"/>
    </fill>
    <fill>
      <patternFill patternType="gray125"/>
    </fill>
    <fill>
      <patternFill patternType="solid">
        <fgColor rgb="FFFFFF00"/>
        <bgColor indexed="64"/>
      </patternFill>
    </fill>
    <fill>
      <patternFill patternType="solid">
        <fgColor theme="9"/>
        <bgColor indexed="64"/>
      </patternFill>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s>
  <cellStyleXfs count="4">
    <xf numFmtId="0" fontId="0" fillId="0" borderId="0"/>
    <xf numFmtId="43" fontId="1" fillId="0" borderId="0" applyFont="0" applyFill="0" applyBorder="0" applyAlignment="0" applyProtection="0"/>
    <xf numFmtId="9" fontId="1" fillId="0" borderId="0" applyFont="0" applyFill="0" applyBorder="0" applyAlignment="0" applyProtection="0"/>
    <xf numFmtId="0" fontId="4" fillId="0" borderId="0" applyNumberFormat="0" applyFill="0" applyBorder="0" applyAlignment="0" applyProtection="0"/>
  </cellStyleXfs>
  <cellXfs count="142">
    <xf numFmtId="0" fontId="0" fillId="0" borderId="0" xfId="0"/>
    <xf numFmtId="2" fontId="0" fillId="0" borderId="0" xfId="0" applyNumberFormat="1"/>
    <xf numFmtId="0" fontId="3" fillId="0" borderId="0" xfId="0" applyFont="1"/>
    <xf numFmtId="0" fontId="2" fillId="0" borderId="0" xfId="0" applyFont="1"/>
    <xf numFmtId="0" fontId="0" fillId="0" borderId="0" xfId="0" quotePrefix="1"/>
    <xf numFmtId="167" fontId="0" fillId="0" borderId="0" xfId="0" applyNumberFormat="1"/>
    <xf numFmtId="43" fontId="0" fillId="0" borderId="0" xfId="1" applyFont="1"/>
    <xf numFmtId="0" fontId="5" fillId="0" borderId="0" xfId="0" applyFont="1"/>
    <xf numFmtId="0" fontId="6" fillId="0" borderId="0" xfId="0" applyFont="1"/>
    <xf numFmtId="0" fontId="6" fillId="0" borderId="1" xfId="0" applyFont="1" applyBorder="1"/>
    <xf numFmtId="0" fontId="7" fillId="0" borderId="1" xfId="3" quotePrefix="1" applyFont="1" applyBorder="1"/>
    <xf numFmtId="0" fontId="7" fillId="0" borderId="1" xfId="3" applyFont="1" applyBorder="1"/>
    <xf numFmtId="0" fontId="5" fillId="3" borderId="1" xfId="0" applyFont="1" applyFill="1" applyBorder="1"/>
    <xf numFmtId="0" fontId="6" fillId="0" borderId="11" xfId="0" applyFont="1" applyBorder="1" applyAlignment="1">
      <alignment horizontal="left"/>
    </xf>
    <xf numFmtId="0" fontId="6" fillId="0" borderId="11" xfId="0" applyFont="1" applyBorder="1"/>
    <xf numFmtId="0" fontId="6" fillId="0" borderId="9" xfId="0" applyFont="1" applyBorder="1"/>
    <xf numFmtId="43" fontId="6" fillId="0" borderId="9" xfId="1" applyFont="1" applyBorder="1"/>
    <xf numFmtId="2" fontId="6" fillId="0" borderId="9" xfId="0" applyNumberFormat="1" applyFont="1" applyBorder="1"/>
    <xf numFmtId="43" fontId="6" fillId="0" borderId="9" xfId="1" applyNumberFormat="1" applyFont="1" applyBorder="1"/>
    <xf numFmtId="43" fontId="6" fillId="0" borderId="9" xfId="0" applyNumberFormat="1" applyFont="1" applyBorder="1"/>
    <xf numFmtId="0" fontId="6" fillId="0" borderId="11" xfId="0" applyFont="1" applyBorder="1" applyAlignment="1">
      <alignment wrapText="1"/>
    </xf>
    <xf numFmtId="168" fontId="6" fillId="0" borderId="9" xfId="1" applyNumberFormat="1" applyFont="1" applyBorder="1"/>
    <xf numFmtId="43" fontId="6" fillId="0" borderId="0" xfId="0" applyNumberFormat="1" applyFont="1"/>
    <xf numFmtId="0" fontId="6" fillId="0" borderId="12" xfId="0" applyFont="1" applyBorder="1" applyAlignment="1">
      <alignment horizontal="left"/>
    </xf>
    <xf numFmtId="0" fontId="6" fillId="0" borderId="12" xfId="0" applyFont="1" applyBorder="1"/>
    <xf numFmtId="43" fontId="6" fillId="0" borderId="10" xfId="0" applyNumberFormat="1" applyFont="1" applyBorder="1"/>
    <xf numFmtId="0" fontId="6" fillId="0" borderId="0" xfId="0" applyFont="1" applyAlignment="1">
      <alignment horizontal="left"/>
    </xf>
    <xf numFmtId="0" fontId="8" fillId="3" borderId="2" xfId="0" applyFont="1" applyFill="1" applyBorder="1"/>
    <xf numFmtId="0" fontId="6" fillId="3" borderId="3" xfId="0" applyFont="1" applyFill="1" applyBorder="1"/>
    <xf numFmtId="0" fontId="6" fillId="3" borderId="4" xfId="0" applyFont="1" applyFill="1" applyBorder="1"/>
    <xf numFmtId="0" fontId="6" fillId="3" borderId="1" xfId="0" applyFont="1" applyFill="1" applyBorder="1"/>
    <xf numFmtId="0" fontId="6" fillId="3" borderId="1" xfId="0" applyFont="1" applyFill="1" applyBorder="1" applyAlignment="1">
      <alignment wrapText="1"/>
    </xf>
    <xf numFmtId="0" fontId="6" fillId="0" borderId="8" xfId="0" applyFont="1" applyBorder="1"/>
    <xf numFmtId="0" fontId="6" fillId="0" borderId="0" xfId="0" applyFont="1" applyBorder="1"/>
    <xf numFmtId="10" fontId="6" fillId="0" borderId="0" xfId="2" applyNumberFormat="1" applyFont="1"/>
    <xf numFmtId="2" fontId="6" fillId="0" borderId="0" xfId="0" applyNumberFormat="1" applyFont="1"/>
    <xf numFmtId="0" fontId="6" fillId="0" borderId="2" xfId="0" applyFont="1" applyBorder="1"/>
    <xf numFmtId="0" fontId="6" fillId="0" borderId="3" xfId="0" applyFont="1" applyBorder="1"/>
    <xf numFmtId="43" fontId="6" fillId="0" borderId="4" xfId="0" applyNumberFormat="1" applyFont="1" applyBorder="1"/>
    <xf numFmtId="0" fontId="6" fillId="3" borderId="2" xfId="0" applyFont="1" applyFill="1" applyBorder="1"/>
    <xf numFmtId="0" fontId="6" fillId="0" borderId="5" xfId="0" applyFont="1" applyBorder="1"/>
    <xf numFmtId="0" fontId="6" fillId="0" borderId="6" xfId="0" applyFont="1" applyBorder="1" applyAlignment="1">
      <alignment horizontal="left" wrapText="1"/>
    </xf>
    <xf numFmtId="0" fontId="6" fillId="0" borderId="6" xfId="0" applyFont="1" applyBorder="1" applyAlignment="1">
      <alignment horizontal="left"/>
    </xf>
    <xf numFmtId="164" fontId="6" fillId="0" borderId="6" xfId="1" applyNumberFormat="1" applyFont="1" applyBorder="1"/>
    <xf numFmtId="164" fontId="6" fillId="0" borderId="7" xfId="1" applyNumberFormat="1" applyFont="1" applyBorder="1" applyAlignment="1">
      <alignment horizontal="left"/>
    </xf>
    <xf numFmtId="0" fontId="5" fillId="0" borderId="13" xfId="0" applyFont="1" applyBorder="1"/>
    <xf numFmtId="0" fontId="5" fillId="0" borderId="14" xfId="0" applyFont="1" applyBorder="1"/>
    <xf numFmtId="164" fontId="5" fillId="0" borderId="10" xfId="0" applyNumberFormat="1" applyFont="1" applyBorder="1"/>
    <xf numFmtId="0" fontId="6" fillId="0" borderId="4" xfId="0" applyFont="1" applyBorder="1"/>
    <xf numFmtId="0" fontId="6" fillId="0" borderId="0" xfId="0" applyFont="1" applyBorder="1" applyAlignment="1">
      <alignment horizontal="left"/>
    </xf>
    <xf numFmtId="164" fontId="6" fillId="0" borderId="0" xfId="1" applyNumberFormat="1" applyFont="1" applyBorder="1"/>
    <xf numFmtId="0" fontId="5" fillId="0" borderId="2" xfId="0" applyFont="1" applyBorder="1"/>
    <xf numFmtId="0" fontId="5" fillId="0" borderId="3" xfId="0" applyFont="1" applyBorder="1"/>
    <xf numFmtId="164" fontId="5" fillId="0" borderId="4" xfId="0" applyNumberFormat="1" applyFont="1" applyBorder="1"/>
    <xf numFmtId="164" fontId="6" fillId="0" borderId="0" xfId="0" applyNumberFormat="1" applyFont="1"/>
    <xf numFmtId="0" fontId="5" fillId="3" borderId="2" xfId="0" applyFont="1" applyFill="1" applyBorder="1"/>
    <xf numFmtId="0" fontId="5" fillId="3" borderId="3" xfId="0" applyFont="1" applyFill="1" applyBorder="1"/>
    <xf numFmtId="0" fontId="5" fillId="3" borderId="4" xfId="0" applyFont="1" applyFill="1" applyBorder="1"/>
    <xf numFmtId="164" fontId="6" fillId="0" borderId="1" xfId="1" applyNumberFormat="1" applyFont="1" applyBorder="1"/>
    <xf numFmtId="0" fontId="6" fillId="0" borderId="1" xfId="0" applyFont="1" applyFill="1" applyBorder="1"/>
    <xf numFmtId="0" fontId="5" fillId="3" borderId="6" xfId="0" applyFont="1" applyFill="1" applyBorder="1" applyAlignment="1">
      <alignment horizontal="center"/>
    </xf>
    <xf numFmtId="0" fontId="5" fillId="3" borderId="1" xfId="0" applyFont="1" applyFill="1" applyBorder="1" applyAlignment="1">
      <alignment horizontal="center"/>
    </xf>
    <xf numFmtId="0" fontId="5" fillId="0" borderId="6" xfId="0" applyFont="1" applyBorder="1"/>
    <xf numFmtId="0" fontId="6" fillId="0" borderId="15" xfId="0" applyFont="1" applyBorder="1"/>
    <xf numFmtId="0" fontId="6" fillId="0" borderId="7" xfId="0" applyFont="1" applyBorder="1"/>
    <xf numFmtId="164" fontId="6" fillId="0" borderId="11" xfId="0" applyNumberFormat="1" applyFont="1" applyBorder="1"/>
    <xf numFmtId="43" fontId="6" fillId="0" borderId="11" xfId="0" applyNumberFormat="1" applyFont="1" applyBorder="1"/>
    <xf numFmtId="0" fontId="6" fillId="0" borderId="0" xfId="0" applyFont="1" applyFill="1" applyBorder="1"/>
    <xf numFmtId="164" fontId="6" fillId="0" borderId="11" xfId="1" applyNumberFormat="1" applyFont="1" applyBorder="1"/>
    <xf numFmtId="164" fontId="6" fillId="0" borderId="9" xfId="0" applyNumberFormat="1" applyFont="1" applyBorder="1"/>
    <xf numFmtId="0" fontId="5" fillId="0" borderId="0" xfId="0" applyFont="1" applyBorder="1"/>
    <xf numFmtId="164" fontId="6" fillId="0" borderId="9" xfId="1" applyNumberFormat="1" applyFont="1" applyBorder="1"/>
    <xf numFmtId="164" fontId="6" fillId="0" borderId="8" xfId="0" applyNumberFormat="1" applyFont="1" applyFill="1" applyBorder="1"/>
    <xf numFmtId="0" fontId="6" fillId="0" borderId="13" xfId="0" applyFont="1" applyBorder="1"/>
    <xf numFmtId="0" fontId="6" fillId="0" borderId="14" xfId="0" applyFont="1" applyBorder="1"/>
    <xf numFmtId="0" fontId="6" fillId="0" borderId="10" xfId="0" applyFont="1" applyBorder="1"/>
    <xf numFmtId="43" fontId="6" fillId="0" borderId="10" xfId="1" applyFont="1" applyBorder="1"/>
    <xf numFmtId="0" fontId="5" fillId="3" borderId="1" xfId="0" applyFont="1" applyFill="1" applyBorder="1" applyAlignment="1">
      <alignment horizontal="center" vertical="center"/>
    </xf>
    <xf numFmtId="0" fontId="6" fillId="3" borderId="8" xfId="0" applyFont="1" applyFill="1" applyBorder="1"/>
    <xf numFmtId="0" fontId="6" fillId="3" borderId="0" xfId="0" applyFont="1" applyFill="1" applyBorder="1"/>
    <xf numFmtId="0" fontId="6" fillId="3" borderId="11" xfId="0" applyFont="1" applyFill="1" applyBorder="1"/>
    <xf numFmtId="0" fontId="6" fillId="3" borderId="9" xfId="0" applyFont="1" applyFill="1" applyBorder="1"/>
    <xf numFmtId="164" fontId="6" fillId="3" borderId="9" xfId="0" applyNumberFormat="1" applyFont="1" applyFill="1" applyBorder="1"/>
    <xf numFmtId="0" fontId="8" fillId="0" borderId="0" xfId="0" applyFont="1"/>
    <xf numFmtId="164" fontId="6" fillId="0" borderId="1" xfId="0" applyNumberFormat="1" applyFont="1" applyBorder="1"/>
    <xf numFmtId="0" fontId="6" fillId="0" borderId="6" xfId="0" applyFont="1" applyBorder="1"/>
    <xf numFmtId="164" fontId="6" fillId="0" borderId="10" xfId="0" applyNumberFormat="1" applyFont="1" applyBorder="1"/>
    <xf numFmtId="164" fontId="6" fillId="0" borderId="4" xfId="0" applyNumberFormat="1" applyFont="1" applyBorder="1"/>
    <xf numFmtId="9" fontId="6" fillId="0" borderId="0" xfId="0" applyNumberFormat="1" applyFont="1"/>
    <xf numFmtId="2" fontId="6" fillId="0" borderId="1" xfId="0" applyNumberFormat="1" applyFont="1" applyBorder="1"/>
    <xf numFmtId="2" fontId="6" fillId="0" borderId="1" xfId="1" applyNumberFormat="1" applyFont="1" applyBorder="1"/>
    <xf numFmtId="0" fontId="5" fillId="0" borderId="1" xfId="0" applyFont="1" applyBorder="1"/>
    <xf numFmtId="9" fontId="5" fillId="0" borderId="1" xfId="0" applyNumberFormat="1" applyFont="1" applyBorder="1"/>
    <xf numFmtId="0" fontId="6" fillId="0" borderId="1" xfId="0" applyFont="1" applyBorder="1" applyAlignment="1">
      <alignment horizontal="right"/>
    </xf>
    <xf numFmtId="0" fontId="6" fillId="0" borderId="1" xfId="0" applyFont="1" applyBorder="1" applyAlignment="1">
      <alignment horizontal="left"/>
    </xf>
    <xf numFmtId="43" fontId="6" fillId="0" borderId="1" xfId="0" applyNumberFormat="1" applyFont="1" applyBorder="1"/>
    <xf numFmtId="0" fontId="6" fillId="0" borderId="0" xfId="0" applyFont="1" applyAlignment="1">
      <alignment horizontal="right"/>
    </xf>
    <xf numFmtId="43" fontId="6" fillId="0" borderId="1" xfId="1" applyFont="1" applyBorder="1"/>
    <xf numFmtId="0" fontId="6" fillId="3" borderId="1" xfId="0" applyFont="1" applyFill="1" applyBorder="1" applyAlignment="1">
      <alignment horizontal="center"/>
    </xf>
    <xf numFmtId="164" fontId="6" fillId="0" borderId="0" xfId="1" applyNumberFormat="1" applyFont="1"/>
    <xf numFmtId="0" fontId="6" fillId="0" borderId="0" xfId="0" quotePrefix="1" applyFont="1"/>
    <xf numFmtId="0" fontId="8" fillId="3" borderId="0" xfId="0" applyFont="1" applyFill="1"/>
    <xf numFmtId="0" fontId="6" fillId="3" borderId="0" xfId="0" applyFont="1" applyFill="1"/>
    <xf numFmtId="10" fontId="6" fillId="0" borderId="1" xfId="2" applyNumberFormat="1" applyFont="1" applyBorder="1"/>
    <xf numFmtId="167" fontId="6" fillId="0" borderId="0" xfId="0" applyNumberFormat="1" applyFont="1"/>
    <xf numFmtId="10" fontId="6" fillId="2" borderId="0" xfId="0" applyNumberFormat="1" applyFont="1" applyFill="1"/>
    <xf numFmtId="0" fontId="6" fillId="2" borderId="0" xfId="0" applyFont="1" applyFill="1" applyAlignment="1">
      <alignment horizontal="right"/>
    </xf>
    <xf numFmtId="0" fontId="9" fillId="0" borderId="0" xfId="0" applyFont="1"/>
    <xf numFmtId="164" fontId="10" fillId="0" borderId="0" xfId="1" applyNumberFormat="1" applyFont="1"/>
    <xf numFmtId="10" fontId="10" fillId="0" borderId="0" xfId="1" applyNumberFormat="1" applyFont="1"/>
    <xf numFmtId="0" fontId="10" fillId="0" borderId="0" xfId="0" applyFont="1"/>
    <xf numFmtId="166" fontId="10" fillId="0" borderId="0" xfId="1" applyNumberFormat="1" applyFont="1"/>
    <xf numFmtId="9" fontId="6" fillId="0" borderId="1" xfId="0" applyNumberFormat="1" applyFont="1" applyBorder="1" applyAlignment="1">
      <alignment horizontal="center"/>
    </xf>
    <xf numFmtId="164" fontId="6" fillId="0" borderId="1" xfId="1" applyNumberFormat="1" applyFont="1" applyBorder="1" applyAlignment="1">
      <alignment horizontal="right"/>
    </xf>
    <xf numFmtId="16" fontId="6" fillId="0" borderId="0" xfId="0" applyNumberFormat="1" applyFont="1"/>
    <xf numFmtId="164" fontId="6" fillId="0" borderId="0" xfId="1" applyNumberFormat="1" applyFont="1" applyAlignment="1">
      <alignment horizontal="right"/>
    </xf>
    <xf numFmtId="0" fontId="6" fillId="0" borderId="1" xfId="0" applyFont="1" applyBorder="1" applyAlignment="1">
      <alignment vertical="top"/>
    </xf>
    <xf numFmtId="0" fontId="6" fillId="0" borderId="0" xfId="0" applyFont="1" applyAlignment="1">
      <alignment vertical="top"/>
    </xf>
    <xf numFmtId="164" fontId="6" fillId="0" borderId="1" xfId="0" applyNumberFormat="1" applyFont="1" applyBorder="1" applyAlignment="1">
      <alignment vertical="top"/>
    </xf>
    <xf numFmtId="165" fontId="6" fillId="0" borderId="1" xfId="0" applyNumberFormat="1" applyFont="1" applyBorder="1" applyAlignment="1">
      <alignment vertical="top" wrapText="1"/>
    </xf>
    <xf numFmtId="0" fontId="5" fillId="0" borderId="8" xfId="0" applyFont="1" applyBorder="1"/>
    <xf numFmtId="43" fontId="5" fillId="0" borderId="9" xfId="0" applyNumberFormat="1" applyFont="1" applyBorder="1"/>
    <xf numFmtId="43" fontId="5" fillId="0" borderId="9" xfId="1" applyFont="1" applyBorder="1"/>
    <xf numFmtId="0" fontId="5" fillId="0" borderId="1" xfId="0" applyFont="1" applyBorder="1" applyAlignment="1">
      <alignment horizontal="center"/>
    </xf>
    <xf numFmtId="0" fontId="5" fillId="0" borderId="0" xfId="0" applyFont="1" applyAlignment="1">
      <alignment vertical="top"/>
    </xf>
    <xf numFmtId="0" fontId="5" fillId="0" borderId="1" xfId="0" applyFont="1" applyBorder="1" applyAlignment="1">
      <alignment vertical="top"/>
    </xf>
    <xf numFmtId="0" fontId="5" fillId="0" borderId="1" xfId="0" applyFont="1" applyBorder="1" applyAlignment="1">
      <alignment vertical="top" wrapText="1"/>
    </xf>
    <xf numFmtId="169" fontId="6" fillId="0" borderId="0" xfId="0" applyNumberFormat="1" applyFont="1"/>
    <xf numFmtId="164" fontId="6" fillId="0" borderId="7" xfId="1" applyNumberFormat="1" applyFont="1" applyBorder="1" applyAlignment="1">
      <alignment horizontal="center"/>
    </xf>
    <xf numFmtId="164" fontId="6" fillId="0" borderId="9" xfId="1" applyNumberFormat="1" applyFont="1" applyBorder="1" applyAlignment="1">
      <alignment horizontal="center"/>
    </xf>
    <xf numFmtId="164" fontId="6" fillId="0" borderId="10" xfId="1" applyNumberFormat="1" applyFont="1" applyBorder="1" applyAlignment="1">
      <alignment horizontal="center"/>
    </xf>
    <xf numFmtId="0" fontId="5" fillId="3" borderId="1" xfId="0" applyFont="1" applyFill="1" applyBorder="1" applyAlignment="1">
      <alignment horizontal="center"/>
    </xf>
    <xf numFmtId="0" fontId="5" fillId="3" borderId="6" xfId="0" applyFont="1" applyFill="1" applyBorder="1" applyAlignment="1">
      <alignment horizontal="center" vertical="center"/>
    </xf>
    <xf numFmtId="0" fontId="5" fillId="3" borderId="14" xfId="0" applyFont="1" applyFill="1" applyBorder="1" applyAlignment="1">
      <alignment horizontal="center" vertical="center"/>
    </xf>
    <xf numFmtId="0" fontId="5" fillId="3" borderId="1" xfId="0" applyFont="1" applyFill="1" applyBorder="1" applyAlignment="1">
      <alignment horizontal="center" vertical="center"/>
    </xf>
    <xf numFmtId="0" fontId="6" fillId="0" borderId="1" xfId="0" applyFont="1" applyBorder="1" applyAlignment="1">
      <alignment horizontal="left"/>
    </xf>
    <xf numFmtId="0" fontId="6" fillId="3" borderId="1" xfId="0" applyFont="1" applyFill="1" applyBorder="1" applyAlignment="1">
      <alignment horizontal="center"/>
    </xf>
    <xf numFmtId="0" fontId="6" fillId="0" borderId="0" xfId="0" applyFont="1" applyAlignment="1">
      <alignment horizontal="left" wrapText="1"/>
    </xf>
    <xf numFmtId="0" fontId="0" fillId="0" borderId="0" xfId="0" applyAlignment="1">
      <alignment horizontal="center"/>
    </xf>
    <xf numFmtId="0" fontId="6" fillId="0" borderId="1" xfId="0" applyFont="1" applyBorder="1" applyAlignment="1">
      <alignment horizontal="center" vertical="center"/>
    </xf>
    <xf numFmtId="0" fontId="5" fillId="0" borderId="1" xfId="0" applyFont="1" applyBorder="1" applyAlignment="1">
      <alignment horizontal="center"/>
    </xf>
    <xf numFmtId="0" fontId="5" fillId="0" borderId="1" xfId="0" applyFont="1" applyBorder="1" applyAlignment="1">
      <alignment horizontal="center" vertical="center"/>
    </xf>
  </cellXfs>
  <cellStyles count="4">
    <cellStyle name="Comma" xfId="1" builtinId="3"/>
    <cellStyle name="Hyperlink" xfId="3" builtinId="8"/>
    <cellStyle name="Normal" xfId="0" builtinId="0"/>
    <cellStyle name="Percent"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D:\1.%20Assignments\6.%20Ashiwini%20Mittal%20uncle's%20bid%20for%20work\1.%20F&amp;V%20Processing%20unit\F&amp;V%20Processing%20Unit%20Annexures%20-%20With%20Subsidy.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tents"/>
      <sheetName val="Ann 1"/>
      <sheetName val="Ann 2"/>
      <sheetName val="Ann 3"/>
      <sheetName val="Ann 4"/>
      <sheetName val="Ann 5"/>
      <sheetName val="Ann 6"/>
      <sheetName val="Ann 7"/>
      <sheetName val="Ann 8"/>
      <sheetName val="Ann 9"/>
      <sheetName val="Ann 10"/>
      <sheetName val="Ann 11"/>
      <sheetName val="Ann 12"/>
      <sheetName val="Ann 13"/>
      <sheetName val="Budgets"/>
      <sheetName val="Assumptions"/>
      <sheetName val="For word file"/>
      <sheetName val="Sheet1"/>
    </sheetNames>
    <sheetDataSet>
      <sheetData sheetId="0"/>
      <sheetData sheetId="1">
        <row r="3">
          <cell r="A3" t="str">
            <v>Annexure 1 - Estimated cost of the project</v>
          </cell>
        </row>
      </sheetData>
      <sheetData sheetId="2">
        <row r="1">
          <cell r="A1" t="str">
            <v>Annexure 2 - Means of Finance</v>
          </cell>
        </row>
      </sheetData>
      <sheetData sheetId="3"/>
      <sheetData sheetId="4">
        <row r="1">
          <cell r="A1" t="str">
            <v>Annexure 4 - Estimated Cost of Production</v>
          </cell>
        </row>
      </sheetData>
      <sheetData sheetId="5">
        <row r="1">
          <cell r="A1" t="str">
            <v>Annexure 5- Projected balance sheet</v>
          </cell>
        </row>
      </sheetData>
      <sheetData sheetId="6"/>
      <sheetData sheetId="7"/>
      <sheetData sheetId="8"/>
      <sheetData sheetId="9"/>
      <sheetData sheetId="10"/>
      <sheetData sheetId="11">
        <row r="1">
          <cell r="A1" t="str">
            <v>Annexure 11- Break even analysis (At maximum capacity utilization)</v>
          </cell>
        </row>
      </sheetData>
      <sheetData sheetId="12"/>
      <sheetData sheetId="13"/>
      <sheetData sheetId="14">
        <row r="1">
          <cell r="A1" t="str">
            <v>Sales Budget</v>
          </cell>
        </row>
      </sheetData>
      <sheetData sheetId="15">
        <row r="1">
          <cell r="B1" t="str">
            <v>Assumptions</v>
          </cell>
        </row>
      </sheetData>
      <sheetData sheetId="16"/>
      <sheetData sheetId="17"/>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AAC8BE-60EA-43EA-96F6-72E97A57CA2D}">
  <dimension ref="A1:B16"/>
  <sheetViews>
    <sheetView tabSelected="1" workbookViewId="0">
      <selection activeCell="A14" sqref="A14"/>
    </sheetView>
  </sheetViews>
  <sheetFormatPr defaultRowHeight="14"/>
  <cols>
    <col min="1" max="1" width="57.90625" style="8" bestFit="1" customWidth="1"/>
    <col min="2" max="2" width="14.453125" style="8" bestFit="1" customWidth="1"/>
    <col min="3" max="16384" width="8.7265625" style="8"/>
  </cols>
  <sheetData>
    <row r="1" spans="1:2">
      <c r="A1" s="7" t="s">
        <v>201</v>
      </c>
    </row>
    <row r="3" spans="1:2">
      <c r="A3" s="12" t="s">
        <v>202</v>
      </c>
      <c r="B3" s="12" t="s">
        <v>203</v>
      </c>
    </row>
    <row r="4" spans="1:2">
      <c r="A4" s="9" t="str">
        <f>'[1]Ann 1'!A3</f>
        <v>Annexure 1 - Estimated cost of the project</v>
      </c>
      <c r="B4" s="10" t="s">
        <v>204</v>
      </c>
    </row>
    <row r="5" spans="1:2">
      <c r="A5" s="9" t="str">
        <f>'[1]Ann 2'!A1</f>
        <v>Annexure 2 - Means of Finance</v>
      </c>
      <c r="B5" s="10" t="s">
        <v>205</v>
      </c>
    </row>
    <row r="6" spans="1:2">
      <c r="A6" s="9" t="str">
        <f>'Ann 3'!A1</f>
        <v>Annexure 3 - Complete Estimate of Civil and Plant and Machinery</v>
      </c>
      <c r="B6" s="10" t="s">
        <v>220</v>
      </c>
    </row>
    <row r="7" spans="1:2">
      <c r="A7" s="9" t="str">
        <f>'[1]Ann 4'!A1</f>
        <v>Annexure 4 - Estimated Cost of Production</v>
      </c>
      <c r="B7" s="10" t="s">
        <v>206</v>
      </c>
    </row>
    <row r="8" spans="1:2">
      <c r="A8" s="9" t="str">
        <f>'[1]Ann 5'!A1</f>
        <v>Annexure 5- Projected balance sheet</v>
      </c>
      <c r="B8" s="10" t="s">
        <v>207</v>
      </c>
    </row>
    <row r="9" spans="1:2">
      <c r="A9" s="9" t="str">
        <f>'Ann 8'!A1</f>
        <v>Annexure 8 - Details of Mnpower</v>
      </c>
      <c r="B9" s="10" t="s">
        <v>208</v>
      </c>
    </row>
    <row r="10" spans="1:2">
      <c r="A10" s="9" t="str">
        <f>'Ann 9'!A1</f>
        <v>Annexure 9 - Computation of Depreciation</v>
      </c>
      <c r="B10" s="10" t="s">
        <v>209</v>
      </c>
    </row>
    <row r="11" spans="1:2">
      <c r="A11" s="9" t="str">
        <f>'Ann 10'!A1</f>
        <v>Annexure 10 - Calculation of Income tax</v>
      </c>
      <c r="B11" s="10" t="s">
        <v>210</v>
      </c>
    </row>
    <row r="12" spans="1:2">
      <c r="A12" s="9" t="str">
        <f>'[1]Ann 11'!A1</f>
        <v>Annexure 11- Break even analysis (At maximum capacity utilization)</v>
      </c>
      <c r="B12" s="10" t="s">
        <v>211</v>
      </c>
    </row>
    <row r="13" spans="1:2">
      <c r="A13" s="9" t="str">
        <f>'Ann 13'!A1</f>
        <v>Annexure 13 - Repayment schedule</v>
      </c>
      <c r="B13" s="10" t="s">
        <v>212</v>
      </c>
    </row>
    <row r="14" spans="1:2">
      <c r="A14" s="9" t="str">
        <f>'Ann 14'!A1</f>
        <v>Annexure 14 - Cash flow statement</v>
      </c>
      <c r="B14" s="10" t="s">
        <v>315</v>
      </c>
    </row>
    <row r="15" spans="1:2">
      <c r="A15" s="9" t="str">
        <f>[1]Assumptions!B1</f>
        <v>Assumptions</v>
      </c>
      <c r="B15" s="11" t="s">
        <v>213</v>
      </c>
    </row>
    <row r="16" spans="1:2">
      <c r="A16" s="9" t="str">
        <f>[1]Budgets!A1</f>
        <v>Sales Budget</v>
      </c>
      <c r="B16" s="11" t="s">
        <v>214</v>
      </c>
    </row>
  </sheetData>
  <hyperlinks>
    <hyperlink ref="B4" location="'Ann 1'!A1" display="Ann 1'!A1" xr:uid="{8392AB6D-212E-479A-A76E-720E2C0CDF1A}"/>
    <hyperlink ref="B5" location="'Ann 2'!A1" display="Ann 2'!A1" xr:uid="{B4E13D04-8C42-46A6-BAFD-20DB089CE0CE}"/>
    <hyperlink ref="B7" location="'Ann 5'!A1" display="Ann 4'!A1" xr:uid="{13CD8BC8-123F-4B27-B558-7700BF617505}"/>
    <hyperlink ref="B8" location="'Ann 6'!A1" display="Ann 5'!A1" xr:uid="{48243C34-7BE1-4B2C-9BAF-A4BEE1FA52A7}"/>
    <hyperlink ref="B9" location="'Ann 8'!A1" display="'Ann 8'!A1" xr:uid="{4BFF2D8E-3B2F-47B1-821E-2A9D5F3C599D}"/>
    <hyperlink ref="B10" location="'Ann 9'!A1" display="'Ann 9'!A1" xr:uid="{E91052E2-C8F3-4E24-802C-38C31EA75505}"/>
    <hyperlink ref="B11" location="'Ann 10'!A1" display="'Ann 10'!A1" xr:uid="{6A4B47E0-EA66-439F-8C5A-E0DF1C723C34}"/>
    <hyperlink ref="B12" location="'Ann 11'!A1" display="'Ann 11'!A1" xr:uid="{91648EFB-F5F2-42E9-8853-705ACD4F62EF}"/>
    <hyperlink ref="B13" location="'Ann 13'!A1" display="'Ann 13'!A1" xr:uid="{D748CAF8-9377-4D17-A5F2-F1A083E6D389}"/>
    <hyperlink ref="B15" location="Assumptions!A1" display="Assumptions!A1" xr:uid="{E978F649-0532-497D-92AA-EF316AAFA8E7}"/>
    <hyperlink ref="B16" location="Budgets!A1" display="Budgets!A1" xr:uid="{4CD23AF4-AE8A-40D8-A5ED-3F33524C9974}"/>
    <hyperlink ref="B6" location="'Ann 3'!A1" display="'Ann 3'!A1" xr:uid="{103D0423-931A-4127-89EA-F0D3EE7C4F91}"/>
    <hyperlink ref="B14" location="'Ann 14'!A1" display="'Ann 14'!A1" xr:uid="{C838FF0E-FB21-4681-BB24-3699D664F32C}"/>
  </hyperlink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13A738-A431-4FFB-9E48-2908CC4F126C}">
  <sheetPr>
    <pageSetUpPr fitToPage="1"/>
  </sheetPr>
  <dimension ref="A1:D44"/>
  <sheetViews>
    <sheetView workbookViewId="0"/>
  </sheetViews>
  <sheetFormatPr defaultRowHeight="14"/>
  <cols>
    <col min="1" max="1" width="8.7265625" style="8"/>
    <col min="2" max="2" width="44.90625" style="8" customWidth="1"/>
    <col min="3" max="3" width="13.26953125" style="8" customWidth="1"/>
    <col min="4" max="16384" width="8.7265625" style="8"/>
  </cols>
  <sheetData>
    <row r="1" spans="1:3">
      <c r="A1" s="7" t="s">
        <v>335</v>
      </c>
    </row>
    <row r="3" spans="1:3">
      <c r="A3" s="7" t="s">
        <v>0</v>
      </c>
    </row>
    <row r="5" spans="1:3">
      <c r="A5" s="27" t="s">
        <v>1</v>
      </c>
      <c r="B5" s="28"/>
      <c r="C5" s="29"/>
    </row>
    <row r="6" spans="1:3" ht="28">
      <c r="A6" s="30" t="s">
        <v>2</v>
      </c>
      <c r="B6" s="30" t="s">
        <v>3</v>
      </c>
      <c r="C6" s="31" t="s">
        <v>4</v>
      </c>
    </row>
    <row r="7" spans="1:3">
      <c r="A7" s="13">
        <v>1</v>
      </c>
      <c r="B7" s="14" t="s">
        <v>6</v>
      </c>
      <c r="C7" s="15"/>
    </row>
    <row r="8" spans="1:3">
      <c r="A8" s="13" t="s">
        <v>5</v>
      </c>
      <c r="B8" s="14" t="s">
        <v>7</v>
      </c>
      <c r="C8" s="16">
        <f>(750*200)/100000</f>
        <v>1.5</v>
      </c>
    </row>
    <row r="9" spans="1:3">
      <c r="A9" s="13"/>
      <c r="B9" s="14" t="s">
        <v>8</v>
      </c>
      <c r="C9" s="16">
        <f>SUM(C8)</f>
        <v>1.5</v>
      </c>
    </row>
    <row r="10" spans="1:3">
      <c r="A10" s="13"/>
      <c r="B10" s="14"/>
      <c r="C10" s="15"/>
    </row>
    <row r="11" spans="1:3">
      <c r="A11" s="13">
        <v>2</v>
      </c>
      <c r="B11" s="14" t="s">
        <v>164</v>
      </c>
      <c r="C11" s="16">
        <v>0</v>
      </c>
    </row>
    <row r="12" spans="1:3">
      <c r="A12" s="13" t="s">
        <v>5</v>
      </c>
      <c r="B12" s="14" t="s">
        <v>8</v>
      </c>
      <c r="C12" s="16">
        <f>C11</f>
        <v>0</v>
      </c>
    </row>
    <row r="13" spans="1:3">
      <c r="A13" s="13"/>
      <c r="B13" s="14"/>
      <c r="C13" s="15"/>
    </row>
    <row r="14" spans="1:3">
      <c r="A14" s="13">
        <v>3</v>
      </c>
      <c r="B14" s="14" t="s">
        <v>9</v>
      </c>
      <c r="C14" s="15"/>
    </row>
    <row r="15" spans="1:3">
      <c r="A15" s="13" t="s">
        <v>5</v>
      </c>
      <c r="B15" s="14" t="s">
        <v>9</v>
      </c>
      <c r="C15" s="17">
        <v>5</v>
      </c>
    </row>
    <row r="16" spans="1:3">
      <c r="A16" s="13"/>
      <c r="B16" s="14" t="s">
        <v>8</v>
      </c>
      <c r="C16" s="18">
        <f>C15</f>
        <v>5</v>
      </c>
    </row>
    <row r="17" spans="1:4">
      <c r="A17" s="13"/>
      <c r="B17" s="14"/>
      <c r="C17" s="15"/>
    </row>
    <row r="18" spans="1:4">
      <c r="A18" s="13">
        <v>4</v>
      </c>
      <c r="B18" s="14" t="s">
        <v>10</v>
      </c>
      <c r="C18" s="15"/>
    </row>
    <row r="19" spans="1:4">
      <c r="A19" s="13" t="s">
        <v>5</v>
      </c>
      <c r="B19" s="14" t="s">
        <v>11</v>
      </c>
      <c r="C19" s="18">
        <f>'Ann 3'!E17/100000</f>
        <v>85</v>
      </c>
    </row>
    <row r="20" spans="1:4">
      <c r="A20" s="13"/>
      <c r="B20" s="14" t="s">
        <v>8</v>
      </c>
      <c r="C20" s="19">
        <f>C19</f>
        <v>85</v>
      </c>
    </row>
    <row r="21" spans="1:4">
      <c r="A21" s="13"/>
      <c r="B21" s="14"/>
      <c r="C21" s="15"/>
    </row>
    <row r="22" spans="1:4">
      <c r="A22" s="13">
        <v>5</v>
      </c>
      <c r="B22" s="14" t="s">
        <v>12</v>
      </c>
      <c r="C22" s="15"/>
    </row>
    <row r="23" spans="1:4">
      <c r="A23" s="13" t="s">
        <v>5</v>
      </c>
      <c r="B23" s="14" t="s">
        <v>13</v>
      </c>
      <c r="C23" s="16">
        <f>'Ann 3'!E19/100000</f>
        <v>3.78</v>
      </c>
    </row>
    <row r="24" spans="1:4">
      <c r="A24" s="13"/>
      <c r="B24" s="14"/>
      <c r="C24" s="16"/>
    </row>
    <row r="25" spans="1:4">
      <c r="A25" s="13">
        <v>6</v>
      </c>
      <c r="B25" s="14" t="s">
        <v>14</v>
      </c>
      <c r="C25" s="16">
        <v>5.585</v>
      </c>
      <c r="D25" s="127"/>
    </row>
    <row r="26" spans="1:4">
      <c r="A26" s="13"/>
      <c r="B26" s="14"/>
      <c r="C26" s="16"/>
    </row>
    <row r="27" spans="1:4">
      <c r="A27" s="13">
        <v>7</v>
      </c>
      <c r="B27" s="14" t="s">
        <v>15</v>
      </c>
      <c r="C27" s="16">
        <v>0</v>
      </c>
    </row>
    <row r="28" spans="1:4">
      <c r="A28" s="13" t="s">
        <v>5</v>
      </c>
      <c r="B28" s="14" t="s">
        <v>16</v>
      </c>
      <c r="C28" s="16">
        <v>0</v>
      </c>
    </row>
    <row r="29" spans="1:4">
      <c r="A29" s="13"/>
      <c r="B29" s="14" t="s">
        <v>8</v>
      </c>
      <c r="C29" s="16"/>
    </row>
    <row r="30" spans="1:4">
      <c r="A30" s="13"/>
      <c r="B30" s="14"/>
      <c r="C30" s="16"/>
    </row>
    <row r="31" spans="1:4">
      <c r="A31" s="13">
        <v>8</v>
      </c>
      <c r="B31" s="14" t="s">
        <v>17</v>
      </c>
      <c r="C31" s="15"/>
    </row>
    <row r="32" spans="1:4" ht="28">
      <c r="A32" s="13"/>
      <c r="B32" s="20" t="s">
        <v>18</v>
      </c>
      <c r="C32" s="15"/>
    </row>
    <row r="33" spans="1:4">
      <c r="A33" s="13" t="s">
        <v>5</v>
      </c>
      <c r="B33" s="14" t="s">
        <v>19</v>
      </c>
      <c r="C33" s="16"/>
    </row>
    <row r="34" spans="1:4">
      <c r="A34" s="13" t="s">
        <v>20</v>
      </c>
      <c r="B34" s="14" t="s">
        <v>21</v>
      </c>
      <c r="C34" s="16">
        <v>2</v>
      </c>
    </row>
    <row r="35" spans="1:4">
      <c r="A35" s="13"/>
      <c r="B35" s="14" t="s">
        <v>8</v>
      </c>
      <c r="C35" s="16">
        <f>SUM(C33:C34)</f>
        <v>2</v>
      </c>
    </row>
    <row r="36" spans="1:4">
      <c r="A36" s="13"/>
      <c r="B36" s="14"/>
      <c r="C36" s="16"/>
    </row>
    <row r="37" spans="1:4">
      <c r="A37" s="13">
        <v>9</v>
      </c>
      <c r="B37" s="14" t="s">
        <v>248</v>
      </c>
      <c r="C37" s="16">
        <v>0</v>
      </c>
    </row>
    <row r="38" spans="1:4">
      <c r="A38" s="13"/>
      <c r="B38" s="14"/>
      <c r="C38" s="16"/>
    </row>
    <row r="39" spans="1:4">
      <c r="A39" s="13">
        <v>10</v>
      </c>
      <c r="B39" s="14" t="s">
        <v>64</v>
      </c>
      <c r="C39" s="21">
        <v>1.135</v>
      </c>
      <c r="D39" s="22"/>
    </row>
    <row r="40" spans="1:4">
      <c r="A40" s="13"/>
      <c r="B40" s="14"/>
      <c r="C40" s="15"/>
    </row>
    <row r="41" spans="1:4">
      <c r="A41" s="23"/>
      <c r="B41" s="24" t="s">
        <v>22</v>
      </c>
      <c r="C41" s="25">
        <f>C35+C27+C25+C20+C16+C23+C37+C12+C9+C39</f>
        <v>104</v>
      </c>
    </row>
    <row r="42" spans="1:4">
      <c r="A42" s="26"/>
    </row>
    <row r="43" spans="1:4">
      <c r="A43" s="26"/>
    </row>
    <row r="44" spans="1:4">
      <c r="A44" s="26"/>
    </row>
  </sheetData>
  <pageMargins left="0.7" right="0.7" top="0.75" bottom="0.75" header="0.3" footer="0.3"/>
  <pageSetup scale="93"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ED81CD-D127-4212-A91B-7CC6FC2C782F}">
  <dimension ref="A1:D10"/>
  <sheetViews>
    <sheetView workbookViewId="0">
      <selection activeCell="D5" sqref="D5"/>
    </sheetView>
  </sheetViews>
  <sheetFormatPr defaultRowHeight="14"/>
  <cols>
    <col min="1" max="1" width="8.7265625" style="8"/>
    <col min="2" max="2" width="22.08984375" style="8" customWidth="1"/>
    <col min="3" max="3" width="18.81640625" style="8" bestFit="1" customWidth="1"/>
    <col min="4" max="16384" width="8.7265625" style="8"/>
  </cols>
  <sheetData>
    <row r="1" spans="1:4">
      <c r="A1" s="7" t="s">
        <v>23</v>
      </c>
    </row>
    <row r="3" spans="1:4">
      <c r="A3" s="39" t="s">
        <v>24</v>
      </c>
      <c r="B3" s="28" t="s">
        <v>25</v>
      </c>
      <c r="C3" s="29" t="s">
        <v>4</v>
      </c>
    </row>
    <row r="4" spans="1:4">
      <c r="A4" s="120">
        <v>1</v>
      </c>
      <c r="B4" s="7" t="s">
        <v>26</v>
      </c>
      <c r="C4" s="121"/>
      <c r="D4" s="34"/>
    </row>
    <row r="5" spans="1:4">
      <c r="A5" s="32"/>
      <c r="B5" s="8" t="s">
        <v>319</v>
      </c>
      <c r="C5" s="19">
        <f>'Ann 1'!C9</f>
        <v>1.5</v>
      </c>
      <c r="D5" s="34"/>
    </row>
    <row r="6" spans="1:4">
      <c r="A6" s="32"/>
      <c r="B6" s="8" t="s">
        <v>320</v>
      </c>
      <c r="C6" s="19">
        <f>C10*10%</f>
        <v>10.4</v>
      </c>
      <c r="D6" s="35"/>
    </row>
    <row r="7" spans="1:4">
      <c r="A7" s="120">
        <v>2</v>
      </c>
      <c r="B7" s="7" t="s">
        <v>27</v>
      </c>
      <c r="C7" s="121">
        <v>0</v>
      </c>
      <c r="D7" s="34"/>
    </row>
    <row r="8" spans="1:4">
      <c r="A8" s="120">
        <v>3</v>
      </c>
      <c r="B8" s="7" t="s">
        <v>28</v>
      </c>
      <c r="C8" s="122">
        <f>C10-C5-C9-C6</f>
        <v>86.515000000000001</v>
      </c>
      <c r="D8" s="34"/>
    </row>
    <row r="9" spans="1:4">
      <c r="A9" s="120">
        <v>4</v>
      </c>
      <c r="B9" s="7" t="s">
        <v>29</v>
      </c>
      <c r="C9" s="122">
        <f>'Ann 1'!C25</f>
        <v>5.585</v>
      </c>
      <c r="D9" s="34"/>
    </row>
    <row r="10" spans="1:4">
      <c r="A10" s="36"/>
      <c r="B10" s="37" t="s">
        <v>8</v>
      </c>
      <c r="C10" s="38">
        <f>'Ann 1'!C41</f>
        <v>104</v>
      </c>
    </row>
  </sheetData>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9B2858-CA67-4C56-BFC5-E2781F80B181}">
  <sheetPr>
    <pageSetUpPr fitToPage="1"/>
  </sheetPr>
  <dimension ref="A1:E23"/>
  <sheetViews>
    <sheetView workbookViewId="0">
      <selection activeCell="C9" sqref="C9"/>
    </sheetView>
  </sheetViews>
  <sheetFormatPr defaultRowHeight="14"/>
  <cols>
    <col min="1" max="1" width="2.81640625" style="8" bestFit="1" customWidth="1"/>
    <col min="2" max="2" width="90.1796875" style="8" bestFit="1" customWidth="1"/>
    <col min="3" max="3" width="8.7265625" style="8"/>
    <col min="4" max="4" width="10.54296875" style="8" customWidth="1"/>
    <col min="5" max="5" width="12.1796875" style="8" bestFit="1" customWidth="1"/>
    <col min="6" max="6" width="8.7265625" style="8"/>
    <col min="7" max="7" width="9.1796875" style="8" bestFit="1" customWidth="1"/>
    <col min="8" max="16384" width="8.7265625" style="8"/>
  </cols>
  <sheetData>
    <row r="1" spans="1:5">
      <c r="A1" s="7" t="s">
        <v>30</v>
      </c>
    </row>
    <row r="3" spans="1:5">
      <c r="A3" s="55" t="s">
        <v>239</v>
      </c>
      <c r="B3" s="56"/>
      <c r="C3" s="56" t="s">
        <v>31</v>
      </c>
      <c r="D3" s="56"/>
      <c r="E3" s="57" t="s">
        <v>32</v>
      </c>
    </row>
    <row r="4" spans="1:5">
      <c r="A4" s="40">
        <v>1</v>
      </c>
      <c r="B4" s="41" t="s">
        <v>250</v>
      </c>
      <c r="C4" s="42">
        <v>1</v>
      </c>
      <c r="D4" s="43"/>
      <c r="E4" s="44">
        <f>'Ann 1'!C15*100000</f>
        <v>500000</v>
      </c>
    </row>
    <row r="5" spans="1:5">
      <c r="A5" s="45" t="s">
        <v>240</v>
      </c>
      <c r="B5" s="46"/>
      <c r="C5" s="46"/>
      <c r="D5" s="46"/>
      <c r="E5" s="47">
        <f>SUM(E4:E4)</f>
        <v>500000</v>
      </c>
    </row>
    <row r="6" spans="1:5">
      <c r="A6" s="36"/>
      <c r="B6" s="37"/>
      <c r="C6" s="37"/>
      <c r="D6" s="37"/>
      <c r="E6" s="48"/>
    </row>
    <row r="7" spans="1:5">
      <c r="A7" s="55" t="s">
        <v>33</v>
      </c>
      <c r="B7" s="56"/>
      <c r="C7" s="56" t="s">
        <v>31</v>
      </c>
      <c r="D7" s="56"/>
      <c r="E7" s="57" t="s">
        <v>32</v>
      </c>
    </row>
    <row r="8" spans="1:5">
      <c r="A8" s="40">
        <v>1</v>
      </c>
      <c r="B8" s="49" t="s">
        <v>321</v>
      </c>
      <c r="C8" s="42">
        <v>1</v>
      </c>
      <c r="D8" s="43"/>
      <c r="E8" s="128">
        <v>8500000</v>
      </c>
    </row>
    <row r="9" spans="1:5">
      <c r="A9" s="32">
        <v>2</v>
      </c>
      <c r="B9" s="49" t="s">
        <v>322</v>
      </c>
      <c r="C9" s="49">
        <v>1</v>
      </c>
      <c r="D9" s="50"/>
      <c r="E9" s="129"/>
    </row>
    <row r="10" spans="1:5">
      <c r="A10" s="32">
        <v>3</v>
      </c>
      <c r="B10" s="49" t="s">
        <v>323</v>
      </c>
      <c r="C10" s="49">
        <v>1</v>
      </c>
      <c r="D10" s="50"/>
      <c r="E10" s="129"/>
    </row>
    <row r="11" spans="1:5">
      <c r="A11" s="32">
        <v>4</v>
      </c>
      <c r="B11" s="49" t="s">
        <v>324</v>
      </c>
      <c r="C11" s="49">
        <v>1</v>
      </c>
      <c r="D11" s="50"/>
      <c r="E11" s="129"/>
    </row>
    <row r="12" spans="1:5">
      <c r="A12" s="32">
        <v>5</v>
      </c>
      <c r="B12" s="49" t="s">
        <v>325</v>
      </c>
      <c r="C12" s="49">
        <v>1</v>
      </c>
      <c r="D12" s="50"/>
      <c r="E12" s="129"/>
    </row>
    <row r="13" spans="1:5">
      <c r="A13" s="32">
        <v>6</v>
      </c>
      <c r="B13" s="49" t="s">
        <v>326</v>
      </c>
      <c r="C13" s="49">
        <v>1</v>
      </c>
      <c r="D13" s="50"/>
      <c r="E13" s="129"/>
    </row>
    <row r="14" spans="1:5">
      <c r="A14" s="32">
        <v>7</v>
      </c>
      <c r="B14" s="49" t="s">
        <v>327</v>
      </c>
      <c r="C14" s="49">
        <v>1</v>
      </c>
      <c r="D14" s="50"/>
      <c r="E14" s="129"/>
    </row>
    <row r="15" spans="1:5">
      <c r="A15" s="32">
        <v>8</v>
      </c>
      <c r="B15" s="49" t="s">
        <v>328</v>
      </c>
      <c r="C15" s="49">
        <v>1</v>
      </c>
      <c r="D15" s="50"/>
      <c r="E15" s="129"/>
    </row>
    <row r="16" spans="1:5">
      <c r="A16" s="32">
        <v>9</v>
      </c>
      <c r="B16" s="49" t="s">
        <v>329</v>
      </c>
      <c r="C16" s="49">
        <v>1</v>
      </c>
      <c r="D16" s="50"/>
      <c r="E16" s="130"/>
    </row>
    <row r="17" spans="1:5" s="7" customFormat="1">
      <c r="A17" s="51" t="s">
        <v>34</v>
      </c>
      <c r="B17" s="52"/>
      <c r="C17" s="52"/>
      <c r="D17" s="52"/>
      <c r="E17" s="53">
        <f>SUM(E8:E16)</f>
        <v>8500000</v>
      </c>
    </row>
    <row r="18" spans="1:5">
      <c r="A18" s="32"/>
      <c r="B18" s="33"/>
      <c r="C18" s="33"/>
      <c r="D18" s="33"/>
      <c r="E18" s="15"/>
    </row>
    <row r="19" spans="1:5">
      <c r="A19" s="55" t="s">
        <v>249</v>
      </c>
      <c r="B19" s="56"/>
      <c r="C19" s="56"/>
      <c r="D19" s="56"/>
      <c r="E19" s="57">
        <v>378000</v>
      </c>
    </row>
    <row r="20" spans="1:5">
      <c r="A20" s="32"/>
      <c r="B20" s="33"/>
      <c r="C20" s="33"/>
      <c r="D20" s="33"/>
      <c r="E20" s="15"/>
    </row>
    <row r="21" spans="1:5" s="7" customFormat="1">
      <c r="A21" s="51" t="s">
        <v>35</v>
      </c>
      <c r="B21" s="52"/>
      <c r="C21" s="52"/>
      <c r="D21" s="52"/>
      <c r="E21" s="53">
        <f>E17+E5+E19</f>
        <v>9378000</v>
      </c>
    </row>
    <row r="22" spans="1:5">
      <c r="E22" s="22"/>
    </row>
    <row r="23" spans="1:5">
      <c r="E23" s="54"/>
    </row>
  </sheetData>
  <mergeCells count="1">
    <mergeCell ref="E8:E16"/>
  </mergeCells>
  <pageMargins left="0.7" right="0.7" top="0.75" bottom="0.75" header="0.3" footer="0.3"/>
  <pageSetup scale="98"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8B6FA6-76E6-4673-8AD3-A2A7C9EA52B0}">
  <sheetPr>
    <pageSetUpPr fitToPage="1"/>
  </sheetPr>
  <dimension ref="A1:K44"/>
  <sheetViews>
    <sheetView workbookViewId="0">
      <selection activeCell="A39" sqref="A39"/>
    </sheetView>
  </sheetViews>
  <sheetFormatPr defaultRowHeight="14"/>
  <cols>
    <col min="1" max="1" width="8.7265625" style="8"/>
    <col min="2" max="2" width="55.7265625" style="8" bestFit="1" customWidth="1"/>
    <col min="3" max="11" width="15.6328125" style="8" bestFit="1" customWidth="1"/>
    <col min="12" max="16384" width="8.7265625" style="8"/>
  </cols>
  <sheetData>
    <row r="1" spans="1:11">
      <c r="A1" s="7" t="s">
        <v>36</v>
      </c>
    </row>
    <row r="3" spans="1:11">
      <c r="A3" s="132" t="s">
        <v>37</v>
      </c>
      <c r="B3" s="132" t="s">
        <v>38</v>
      </c>
      <c r="C3" s="131" t="s">
        <v>48</v>
      </c>
      <c r="D3" s="131"/>
      <c r="E3" s="131"/>
      <c r="F3" s="131"/>
      <c r="G3" s="131"/>
      <c r="H3" s="131"/>
      <c r="I3" s="131"/>
      <c r="J3" s="131"/>
      <c r="K3" s="131"/>
    </row>
    <row r="4" spans="1:11">
      <c r="A4" s="133"/>
      <c r="B4" s="133"/>
      <c r="C4" s="61" t="s">
        <v>39</v>
      </c>
      <c r="D4" s="60" t="s">
        <v>40</v>
      </c>
      <c r="E4" s="60" t="s">
        <v>41</v>
      </c>
      <c r="F4" s="60" t="s">
        <v>42</v>
      </c>
      <c r="G4" s="60" t="s">
        <v>43</v>
      </c>
      <c r="H4" s="60" t="s">
        <v>44</v>
      </c>
      <c r="I4" s="60" t="s">
        <v>45</v>
      </c>
      <c r="J4" s="60" t="s">
        <v>46</v>
      </c>
      <c r="K4" s="60" t="s">
        <v>47</v>
      </c>
    </row>
    <row r="5" spans="1:11">
      <c r="A5" s="9"/>
      <c r="B5" s="9" t="s">
        <v>49</v>
      </c>
      <c r="C5" s="9">
        <v>12</v>
      </c>
      <c r="D5" s="9">
        <v>12</v>
      </c>
      <c r="E5" s="9">
        <v>12</v>
      </c>
      <c r="F5" s="9">
        <v>12</v>
      </c>
      <c r="G5" s="9">
        <v>12</v>
      </c>
      <c r="H5" s="9">
        <v>12</v>
      </c>
      <c r="I5" s="9">
        <v>12</v>
      </c>
      <c r="J5" s="9">
        <v>12</v>
      </c>
      <c r="K5" s="9">
        <v>12</v>
      </c>
    </row>
    <row r="6" spans="1:11">
      <c r="A6" s="9"/>
      <c r="B6" s="9"/>
      <c r="C6" s="9"/>
      <c r="D6" s="9"/>
      <c r="E6" s="9"/>
      <c r="F6" s="9"/>
      <c r="G6" s="9"/>
      <c r="H6" s="9"/>
      <c r="I6" s="9"/>
      <c r="J6" s="9"/>
      <c r="K6" s="9"/>
    </row>
    <row r="7" spans="1:11">
      <c r="A7" s="9"/>
      <c r="B7" s="9" t="s">
        <v>270</v>
      </c>
      <c r="C7" s="58">
        <f>Budgets!C10*Budgets!$E$21</f>
        <v>235094400</v>
      </c>
      <c r="D7" s="58">
        <f>Budgets!D10*Budgets!$E$21</f>
        <v>251886857.14285716</v>
      </c>
      <c r="E7" s="58">
        <f>Budgets!E10*Budgets!$E$21</f>
        <v>268679314.28571433</v>
      </c>
      <c r="F7" s="58">
        <f>Budgets!F10*Budgets!$E$21</f>
        <v>285471771.42857146</v>
      </c>
      <c r="G7" s="58">
        <f>Budgets!G10*Budgets!$E$21</f>
        <v>302264228.5714286</v>
      </c>
      <c r="H7" s="58">
        <f>Budgets!H10*Budgets!$E$21</f>
        <v>319056685.71428573</v>
      </c>
      <c r="I7" s="58">
        <f>Budgets!I10*Budgets!$E$21</f>
        <v>335849142.85714293</v>
      </c>
      <c r="J7" s="58">
        <f>Budgets!J10*Budgets!$E$21</f>
        <v>335849142.85714293</v>
      </c>
      <c r="K7" s="58">
        <f>Budgets!K10*Budgets!$E$21</f>
        <v>335849142.85714293</v>
      </c>
    </row>
    <row r="8" spans="1:11">
      <c r="A8" s="9"/>
      <c r="B8" s="9" t="s">
        <v>169</v>
      </c>
      <c r="C8" s="58">
        <f>100000+C42</f>
        <v>600000</v>
      </c>
      <c r="D8" s="58">
        <f t="shared" ref="D8:K8" si="0">100000+D42</f>
        <v>625000</v>
      </c>
      <c r="E8" s="58">
        <f t="shared" si="0"/>
        <v>651250</v>
      </c>
      <c r="F8" s="58">
        <f t="shared" si="0"/>
        <v>678812.5</v>
      </c>
      <c r="G8" s="58">
        <f t="shared" si="0"/>
        <v>707753.125</v>
      </c>
      <c r="H8" s="58">
        <f t="shared" si="0"/>
        <v>738140.78125</v>
      </c>
      <c r="I8" s="58">
        <f t="shared" si="0"/>
        <v>770047.8203125</v>
      </c>
      <c r="J8" s="58">
        <f t="shared" si="0"/>
        <v>770047.8203125</v>
      </c>
      <c r="K8" s="58">
        <f t="shared" si="0"/>
        <v>770047.8203125</v>
      </c>
    </row>
    <row r="9" spans="1:11">
      <c r="A9" s="9"/>
      <c r="B9" s="9" t="s">
        <v>257</v>
      </c>
      <c r="C9" s="58">
        <f>2%*'Ann 3'!E17</f>
        <v>170000</v>
      </c>
      <c r="D9" s="58">
        <f>C9*1.05</f>
        <v>178500</v>
      </c>
      <c r="E9" s="58">
        <f t="shared" ref="E9:K9" si="1">D9*1.05</f>
        <v>187425</v>
      </c>
      <c r="F9" s="58">
        <f t="shared" si="1"/>
        <v>196796.25</v>
      </c>
      <c r="G9" s="58">
        <f t="shared" si="1"/>
        <v>206636.0625</v>
      </c>
      <c r="H9" s="58">
        <f t="shared" si="1"/>
        <v>216967.86562500001</v>
      </c>
      <c r="I9" s="58">
        <f t="shared" si="1"/>
        <v>227816.25890625</v>
      </c>
      <c r="J9" s="58">
        <f t="shared" si="1"/>
        <v>239207.0718515625</v>
      </c>
      <c r="K9" s="58">
        <f t="shared" si="1"/>
        <v>251167.42544414065</v>
      </c>
    </row>
    <row r="10" spans="1:11">
      <c r="A10" s="9"/>
      <c r="B10" s="9" t="s">
        <v>291</v>
      </c>
      <c r="C10" s="58">
        <f>C21*10%</f>
        <v>26406760.800000001</v>
      </c>
      <c r="D10" s="58">
        <f t="shared" ref="D10:K10" si="2">D21*10%</f>
        <v>29435778</v>
      </c>
      <c r="E10" s="58">
        <f t="shared" si="2"/>
        <v>31398163.200000003</v>
      </c>
      <c r="F10" s="58">
        <f t="shared" si="2"/>
        <v>33360548.400000002</v>
      </c>
      <c r="G10" s="58">
        <f t="shared" si="2"/>
        <v>35322933.600000001</v>
      </c>
      <c r="H10" s="58">
        <f t="shared" si="2"/>
        <v>37285318.800000004</v>
      </c>
      <c r="I10" s="58">
        <f t="shared" si="2"/>
        <v>39247704</v>
      </c>
      <c r="J10" s="58">
        <f t="shared" si="2"/>
        <v>39247704</v>
      </c>
      <c r="K10" s="58">
        <f t="shared" si="2"/>
        <v>39247704</v>
      </c>
    </row>
    <row r="11" spans="1:11">
      <c r="A11" s="9"/>
      <c r="B11" s="9" t="s">
        <v>171</v>
      </c>
      <c r="C11" s="58">
        <f>SUM(C7:C10)</f>
        <v>262271160.80000001</v>
      </c>
      <c r="D11" s="58">
        <f t="shared" ref="D11:K11" si="3">SUM(D7:D10)</f>
        <v>282126135.14285719</v>
      </c>
      <c r="E11" s="58">
        <f t="shared" si="3"/>
        <v>300916152.48571432</v>
      </c>
      <c r="F11" s="58">
        <f t="shared" si="3"/>
        <v>319707928.57857144</v>
      </c>
      <c r="G11" s="58">
        <f t="shared" si="3"/>
        <v>338501551.35892862</v>
      </c>
      <c r="H11" s="58">
        <f t="shared" si="3"/>
        <v>357297113.16116077</v>
      </c>
      <c r="I11" s="58">
        <f t="shared" si="3"/>
        <v>376094710.93636167</v>
      </c>
      <c r="J11" s="58">
        <f t="shared" si="3"/>
        <v>376106101.74930698</v>
      </c>
      <c r="K11" s="58">
        <f t="shared" si="3"/>
        <v>376118062.10289955</v>
      </c>
    </row>
    <row r="12" spans="1:11">
      <c r="A12" s="9"/>
      <c r="B12" s="9" t="s">
        <v>259</v>
      </c>
      <c r="C12" s="58">
        <v>0</v>
      </c>
      <c r="D12" s="58">
        <f>C13</f>
        <v>1950412.8000000119</v>
      </c>
      <c r="E12" s="58">
        <f t="shared" ref="E12:K12" si="4">D13</f>
        <v>4040140.8000000119</v>
      </c>
      <c r="F12" s="58">
        <f t="shared" si="4"/>
        <v>6269184</v>
      </c>
      <c r="G12" s="58">
        <f t="shared" si="4"/>
        <v>8637542.400000006</v>
      </c>
      <c r="H12" s="58">
        <f t="shared" si="4"/>
        <v>11145216</v>
      </c>
      <c r="I12" s="58">
        <f t="shared" si="4"/>
        <v>8498227.1999999881</v>
      </c>
      <c r="J12" s="58">
        <f t="shared" si="4"/>
        <v>5711923.1999999881</v>
      </c>
      <c r="K12" s="58">
        <f t="shared" si="4"/>
        <v>2925619.1999999881</v>
      </c>
    </row>
    <row r="13" spans="1:11">
      <c r="A13" s="9"/>
      <c r="B13" s="9" t="s">
        <v>260</v>
      </c>
      <c r="C13" s="58">
        <f>Budgets!C29*32</f>
        <v>1950412.8000000119</v>
      </c>
      <c r="D13" s="58">
        <f>Budgets!D29*32</f>
        <v>4040140.8000000119</v>
      </c>
      <c r="E13" s="58">
        <f>Budgets!E29*32</f>
        <v>6269184</v>
      </c>
      <c r="F13" s="58">
        <f>Budgets!F29*32</f>
        <v>8637542.400000006</v>
      </c>
      <c r="G13" s="58">
        <f>Budgets!G29*32</f>
        <v>11145216</v>
      </c>
      <c r="H13" s="58">
        <f>Budgets!H29*32</f>
        <v>8498227.1999999881</v>
      </c>
      <c r="I13" s="58">
        <f>Budgets!I29*32</f>
        <v>5711923.1999999881</v>
      </c>
      <c r="J13" s="58">
        <f>Budgets!J29*32</f>
        <v>2925619.1999999881</v>
      </c>
      <c r="K13" s="58">
        <f>Budgets!K29*32</f>
        <v>139315.19999998808</v>
      </c>
    </row>
    <row r="14" spans="1:11">
      <c r="A14" s="9"/>
      <c r="B14" s="9" t="s">
        <v>172</v>
      </c>
      <c r="C14" s="58">
        <f>C11+C12-C13</f>
        <v>260320748</v>
      </c>
      <c r="D14" s="58">
        <f t="shared" ref="D14:K14" si="5">D11+D12-D13</f>
        <v>280036407.14285719</v>
      </c>
      <c r="E14" s="58">
        <f t="shared" si="5"/>
        <v>298687109.28571433</v>
      </c>
      <c r="F14" s="58">
        <f t="shared" si="5"/>
        <v>317339570.17857146</v>
      </c>
      <c r="G14" s="58">
        <f t="shared" si="5"/>
        <v>335993877.75892866</v>
      </c>
      <c r="H14" s="58">
        <f t="shared" si="5"/>
        <v>359944101.96116078</v>
      </c>
      <c r="I14" s="58">
        <f t="shared" si="5"/>
        <v>378881014.93636167</v>
      </c>
      <c r="J14" s="58">
        <f t="shared" si="5"/>
        <v>378892405.74930698</v>
      </c>
      <c r="K14" s="58">
        <f t="shared" si="5"/>
        <v>378904366.10289955</v>
      </c>
    </row>
    <row r="15" spans="1:11">
      <c r="A15" s="9"/>
      <c r="B15" s="9"/>
      <c r="C15" s="58"/>
      <c r="D15" s="58"/>
      <c r="E15" s="58"/>
      <c r="F15" s="58"/>
      <c r="G15" s="58"/>
      <c r="H15" s="58"/>
      <c r="I15" s="58"/>
      <c r="J15" s="58"/>
      <c r="K15" s="58"/>
    </row>
    <row r="16" spans="1:11">
      <c r="A16" s="9"/>
      <c r="B16" s="9" t="s">
        <v>51</v>
      </c>
      <c r="C16" s="58">
        <f>'Ann 8'!E14</f>
        <v>1603800</v>
      </c>
      <c r="D16" s="58">
        <f>1.05*C16</f>
        <v>1683990</v>
      </c>
      <c r="E16" s="58">
        <f t="shared" ref="E16:K16" si="6">1.05*D16</f>
        <v>1768189.5</v>
      </c>
      <c r="F16" s="58">
        <f t="shared" si="6"/>
        <v>1856598.9750000001</v>
      </c>
      <c r="G16" s="58">
        <f t="shared" si="6"/>
        <v>1949428.9237500001</v>
      </c>
      <c r="H16" s="58">
        <f t="shared" si="6"/>
        <v>2046900.3699375002</v>
      </c>
      <c r="I16" s="58">
        <f t="shared" si="6"/>
        <v>2149245.3884343752</v>
      </c>
      <c r="J16" s="58">
        <f t="shared" si="6"/>
        <v>2256707.6578560942</v>
      </c>
      <c r="K16" s="58">
        <f t="shared" si="6"/>
        <v>2369543.0407488989</v>
      </c>
    </row>
    <row r="17" spans="1:11">
      <c r="A17" s="9"/>
      <c r="B17" s="9" t="s">
        <v>285</v>
      </c>
      <c r="C17" s="58">
        <v>200000</v>
      </c>
      <c r="D17" s="58">
        <v>200000</v>
      </c>
      <c r="E17" s="58">
        <v>200000</v>
      </c>
      <c r="F17" s="58">
        <v>200000</v>
      </c>
      <c r="G17" s="58">
        <v>200000</v>
      </c>
      <c r="H17" s="58">
        <v>200000</v>
      </c>
      <c r="I17" s="58">
        <v>200000</v>
      </c>
      <c r="J17" s="58">
        <v>200000</v>
      </c>
      <c r="K17" s="58">
        <v>200000</v>
      </c>
    </row>
    <row r="18" spans="1:11">
      <c r="A18" s="9"/>
      <c r="B18" s="9" t="s">
        <v>8</v>
      </c>
      <c r="C18" s="58">
        <f>SUM(C16:C17)</f>
        <v>1803800</v>
      </c>
      <c r="D18" s="58">
        <f t="shared" ref="D18:K18" si="7">SUM(D16:D17)</f>
        <v>1883990</v>
      </c>
      <c r="E18" s="58">
        <f t="shared" si="7"/>
        <v>1968189.5</v>
      </c>
      <c r="F18" s="58">
        <f t="shared" si="7"/>
        <v>2056598.9750000001</v>
      </c>
      <c r="G18" s="58">
        <f t="shared" si="7"/>
        <v>2149428.9237500001</v>
      </c>
      <c r="H18" s="58">
        <f t="shared" si="7"/>
        <v>2246900.3699375</v>
      </c>
      <c r="I18" s="58">
        <f t="shared" si="7"/>
        <v>2349245.3884343752</v>
      </c>
      <c r="J18" s="58">
        <f t="shared" si="7"/>
        <v>2456707.6578560942</v>
      </c>
      <c r="K18" s="58">
        <f t="shared" si="7"/>
        <v>2569543.0407488989</v>
      </c>
    </row>
    <row r="19" spans="1:11">
      <c r="A19" s="9"/>
      <c r="B19" s="9"/>
      <c r="C19" s="58"/>
      <c r="D19" s="58"/>
      <c r="E19" s="58"/>
      <c r="F19" s="58"/>
      <c r="G19" s="58"/>
      <c r="H19" s="58"/>
      <c r="I19" s="58"/>
      <c r="J19" s="58"/>
      <c r="K19" s="58"/>
    </row>
    <row r="20" spans="1:11">
      <c r="A20" s="9"/>
      <c r="B20" s="9" t="s">
        <v>86</v>
      </c>
      <c r="C20" s="58">
        <f t="shared" ref="C20:K20" si="8">C18+C14</f>
        <v>262124548</v>
      </c>
      <c r="D20" s="58">
        <f t="shared" si="8"/>
        <v>281920397.14285719</v>
      </c>
      <c r="E20" s="58">
        <f t="shared" si="8"/>
        <v>300655298.78571433</v>
      </c>
      <c r="F20" s="58">
        <f t="shared" si="8"/>
        <v>319396169.15357149</v>
      </c>
      <c r="G20" s="58">
        <f t="shared" si="8"/>
        <v>338143306.68267864</v>
      </c>
      <c r="H20" s="58">
        <f t="shared" si="8"/>
        <v>362191002.33109826</v>
      </c>
      <c r="I20" s="58">
        <f t="shared" si="8"/>
        <v>381230260.32479602</v>
      </c>
      <c r="J20" s="58">
        <f t="shared" si="8"/>
        <v>381349113.40716308</v>
      </c>
      <c r="K20" s="58">
        <f t="shared" si="8"/>
        <v>381473909.14364845</v>
      </c>
    </row>
    <row r="21" spans="1:11">
      <c r="A21" s="9"/>
      <c r="B21" s="9" t="s">
        <v>87</v>
      </c>
      <c r="C21" s="58">
        <f>Budgets!C13</f>
        <v>264067608</v>
      </c>
      <c r="D21" s="58">
        <f>Budgets!D13</f>
        <v>294357780</v>
      </c>
      <c r="E21" s="58">
        <f>Budgets!E13</f>
        <v>313981632</v>
      </c>
      <c r="F21" s="58">
        <f>Budgets!F13</f>
        <v>333605484</v>
      </c>
      <c r="G21" s="58">
        <f>Budgets!G13</f>
        <v>353229336</v>
      </c>
      <c r="H21" s="58">
        <f>Budgets!H13</f>
        <v>372853188</v>
      </c>
      <c r="I21" s="58">
        <f>Budgets!I13</f>
        <v>392477040</v>
      </c>
      <c r="J21" s="58">
        <f>Budgets!J13</f>
        <v>392477040</v>
      </c>
      <c r="K21" s="58">
        <f>Budgets!K13</f>
        <v>392477040</v>
      </c>
    </row>
    <row r="22" spans="1:11">
      <c r="A22" s="9"/>
      <c r="B22" s="9" t="s">
        <v>88</v>
      </c>
      <c r="C22" s="58">
        <f t="shared" ref="C22:K22" si="9">C21-C20</f>
        <v>1943060</v>
      </c>
      <c r="D22" s="58">
        <f t="shared" si="9"/>
        <v>12437382.857142806</v>
      </c>
      <c r="E22" s="58">
        <f t="shared" si="9"/>
        <v>13326333.214285672</v>
      </c>
      <c r="F22" s="58">
        <f t="shared" si="9"/>
        <v>14209314.846428514</v>
      </c>
      <c r="G22" s="58">
        <f t="shared" si="9"/>
        <v>15086029.31732136</v>
      </c>
      <c r="H22" s="58">
        <f t="shared" si="9"/>
        <v>10662185.668901742</v>
      </c>
      <c r="I22" s="58">
        <f t="shared" si="9"/>
        <v>11246779.675203979</v>
      </c>
      <c r="J22" s="58">
        <f t="shared" si="9"/>
        <v>11127926.592836916</v>
      </c>
      <c r="K22" s="58">
        <f t="shared" si="9"/>
        <v>11003130.856351554</v>
      </c>
    </row>
    <row r="23" spans="1:11">
      <c r="A23" s="9"/>
      <c r="B23" s="9"/>
      <c r="C23" s="58"/>
      <c r="D23" s="58"/>
      <c r="E23" s="58"/>
      <c r="F23" s="58"/>
      <c r="G23" s="58"/>
      <c r="H23" s="58"/>
      <c r="I23" s="58"/>
      <c r="J23" s="58"/>
      <c r="K23" s="58"/>
    </row>
    <row r="24" spans="1:11">
      <c r="A24" s="9"/>
      <c r="B24" s="9" t="s">
        <v>89</v>
      </c>
      <c r="C24" s="58"/>
      <c r="D24" s="58"/>
      <c r="E24" s="58"/>
      <c r="F24" s="58"/>
      <c r="G24" s="58"/>
      <c r="H24" s="58"/>
      <c r="I24" s="58"/>
      <c r="J24" s="58"/>
      <c r="K24" s="58"/>
    </row>
    <row r="25" spans="1:11">
      <c r="A25" s="9"/>
      <c r="B25" s="9" t="s">
        <v>90</v>
      </c>
      <c r="C25" s="58">
        <f>SUM('Ann 13'!E10:E13)*100000</f>
        <v>514098.75000000006</v>
      </c>
      <c r="D25" s="58">
        <f>SUM('Ann 13'!E14:E17)*100000</f>
        <v>449212.49999999994</v>
      </c>
      <c r="E25" s="58">
        <f>SUM('Ann 13'!E18:E21)*100000</f>
        <v>369352.5</v>
      </c>
      <c r="F25" s="58">
        <f>SUM('Ann 13'!E22:E25)*100000</f>
        <v>289492.5</v>
      </c>
      <c r="G25" s="58">
        <f>SUM('Ann 13'!E26:E29)*100000</f>
        <v>114798.74999999997</v>
      </c>
      <c r="H25" s="58">
        <f>SUM('Ann 13'!E30:E33)*100000</f>
        <v>0</v>
      </c>
      <c r="I25" s="58">
        <f>SUM('Ann 13'!E34:E37)*100000</f>
        <v>0</v>
      </c>
      <c r="J25" s="58">
        <v>0</v>
      </c>
      <c r="K25" s="58">
        <v>0</v>
      </c>
    </row>
    <row r="26" spans="1:11">
      <c r="A26" s="9"/>
      <c r="B26" s="9" t="s">
        <v>163</v>
      </c>
      <c r="C26" s="58">
        <f>'Ann 1'!$C$25*100000*10%</f>
        <v>55850</v>
      </c>
      <c r="D26" s="58">
        <f>'Ann 1'!$C$25*100000*10%</f>
        <v>55850</v>
      </c>
      <c r="E26" s="58">
        <f>'Ann 1'!$C$25*100000*10%</f>
        <v>55850</v>
      </c>
      <c r="F26" s="58">
        <f>'Ann 1'!$C$25*100000*10%</f>
        <v>55850</v>
      </c>
      <c r="G26" s="58">
        <f>'Ann 1'!$C$25*100000*10%</f>
        <v>55850</v>
      </c>
      <c r="H26" s="58">
        <f>'Ann 1'!$C$25*100000*10%</f>
        <v>55850</v>
      </c>
      <c r="I26" s="58">
        <f>'Ann 1'!$C$25*100000*10%</f>
        <v>55850</v>
      </c>
      <c r="J26" s="58">
        <f>'Ann 1'!$C$25*100000*10%</f>
        <v>55850</v>
      </c>
      <c r="K26" s="58">
        <f>'Ann 1'!$C$25*100000*10%</f>
        <v>55850</v>
      </c>
    </row>
    <row r="27" spans="1:11">
      <c r="A27" s="9"/>
      <c r="B27" s="59" t="s">
        <v>277</v>
      </c>
      <c r="C27" s="58">
        <f>SUM(C25:C26)</f>
        <v>569948.75</v>
      </c>
      <c r="D27" s="58">
        <f t="shared" ref="D27:K27" si="10">SUM(D25:D26)</f>
        <v>505062.49999999994</v>
      </c>
      <c r="E27" s="58">
        <f t="shared" si="10"/>
        <v>425202.5</v>
      </c>
      <c r="F27" s="58">
        <f t="shared" si="10"/>
        <v>345342.5</v>
      </c>
      <c r="G27" s="58">
        <f t="shared" si="10"/>
        <v>170648.74999999997</v>
      </c>
      <c r="H27" s="58">
        <f t="shared" si="10"/>
        <v>55850</v>
      </c>
      <c r="I27" s="58">
        <f t="shared" si="10"/>
        <v>55850</v>
      </c>
      <c r="J27" s="58">
        <f t="shared" si="10"/>
        <v>55850</v>
      </c>
      <c r="K27" s="58">
        <f t="shared" si="10"/>
        <v>55850</v>
      </c>
    </row>
    <row r="28" spans="1:11">
      <c r="A28" s="9"/>
      <c r="B28" s="9"/>
      <c r="C28" s="58"/>
      <c r="D28" s="58"/>
      <c r="E28" s="58"/>
      <c r="F28" s="58"/>
      <c r="G28" s="58"/>
      <c r="H28" s="58"/>
      <c r="I28" s="58"/>
      <c r="J28" s="58"/>
      <c r="K28" s="58"/>
    </row>
    <row r="29" spans="1:11">
      <c r="A29" s="9"/>
      <c r="B29" s="9" t="s">
        <v>100</v>
      </c>
      <c r="C29" s="58">
        <f t="shared" ref="C29:K29" si="11">C22-C27</f>
        <v>1373111.25</v>
      </c>
      <c r="D29" s="58">
        <f t="shared" si="11"/>
        <v>11932320.357142806</v>
      </c>
      <c r="E29" s="58">
        <f t="shared" si="11"/>
        <v>12901130.714285672</v>
      </c>
      <c r="F29" s="58">
        <f t="shared" si="11"/>
        <v>13863972.346428514</v>
      </c>
      <c r="G29" s="58">
        <f t="shared" si="11"/>
        <v>14915380.56732136</v>
      </c>
      <c r="H29" s="58">
        <f t="shared" si="11"/>
        <v>10606335.668901742</v>
      </c>
      <c r="I29" s="58">
        <f t="shared" si="11"/>
        <v>11190929.675203979</v>
      </c>
      <c r="J29" s="58">
        <f t="shared" si="11"/>
        <v>11072076.592836916</v>
      </c>
      <c r="K29" s="58">
        <f t="shared" si="11"/>
        <v>10947280.856351554</v>
      </c>
    </row>
    <row r="30" spans="1:11">
      <c r="A30" s="9"/>
      <c r="B30" s="9" t="s">
        <v>174</v>
      </c>
      <c r="C30" s="58">
        <f>'Ann 1'!C34*100000</f>
        <v>200000</v>
      </c>
      <c r="D30" s="58">
        <v>0</v>
      </c>
      <c r="E30" s="58">
        <v>0</v>
      </c>
      <c r="F30" s="58">
        <v>0</v>
      </c>
      <c r="G30" s="58">
        <v>0</v>
      </c>
      <c r="H30" s="58">
        <v>0</v>
      </c>
      <c r="I30" s="58">
        <v>0</v>
      </c>
      <c r="J30" s="58">
        <v>0</v>
      </c>
      <c r="K30" s="58">
        <v>0</v>
      </c>
    </row>
    <row r="31" spans="1:11">
      <c r="A31" s="9"/>
      <c r="B31" s="9" t="s">
        <v>336</v>
      </c>
      <c r="C31" s="58">
        <v>0</v>
      </c>
      <c r="D31" s="58">
        <v>0</v>
      </c>
      <c r="E31" s="58">
        <v>0</v>
      </c>
      <c r="F31" s="58">
        <v>0</v>
      </c>
      <c r="G31" s="58">
        <f>'Ann 13'!D5*100000</f>
        <v>3640000</v>
      </c>
      <c r="H31" s="58"/>
      <c r="I31" s="58"/>
      <c r="J31" s="58"/>
      <c r="K31" s="58"/>
    </row>
    <row r="32" spans="1:11">
      <c r="A32" s="9"/>
      <c r="B32" s="59" t="s">
        <v>101</v>
      </c>
      <c r="C32" s="58">
        <f>'Ann 9'!C12+'Ann 9'!D12+'Ann 9'!E12</f>
        <v>1374150</v>
      </c>
      <c r="D32" s="58">
        <f>'Ann 9'!C13+'Ann 9'!D13+'Ann 9'!E13</f>
        <v>1172985</v>
      </c>
      <c r="E32" s="58">
        <f>'Ann 9'!C14+'Ann 9'!D14+'Ann 9'!E14</f>
        <v>1001499</v>
      </c>
      <c r="F32" s="58">
        <f>'Ann 9'!C15+'Ann 9'!D15+'Ann 9'!E15</f>
        <v>855289.72499999998</v>
      </c>
      <c r="G32" s="58">
        <f>'Ann 9'!C16+'Ann 9'!D16+'Ann 9'!E16</f>
        <v>730610.28374999994</v>
      </c>
      <c r="H32" s="58">
        <f>'Ann 9'!C17+'Ann 9'!D17+'Ann 9'!E17</f>
        <v>624271.35693749995</v>
      </c>
      <c r="I32" s="58">
        <f>'Ann 9'!C18+'Ann 9'!D18+'Ann 9'!E18</f>
        <v>533558.007571875</v>
      </c>
      <c r="J32" s="58">
        <f>'Ann 9'!C19+'Ann 9'!D19+'Ann 9'!E19</f>
        <v>456158.92519359378</v>
      </c>
      <c r="K32" s="58">
        <f>'Ann 9'!C20+'Ann 9'!D20+'Ann 9'!E20</f>
        <v>390106.24329630472</v>
      </c>
    </row>
    <row r="33" spans="1:11">
      <c r="A33" s="9"/>
      <c r="B33" s="59" t="s">
        <v>102</v>
      </c>
      <c r="C33" s="58">
        <f>C29-C30-C32</f>
        <v>-201038.75</v>
      </c>
      <c r="D33" s="58">
        <f t="shared" ref="D33:F33" si="12">D29-D30-D32</f>
        <v>10759335.357142806</v>
      </c>
      <c r="E33" s="58">
        <f t="shared" si="12"/>
        <v>11899631.714285672</v>
      </c>
      <c r="F33" s="58">
        <f t="shared" si="12"/>
        <v>13008682.621428514</v>
      </c>
      <c r="G33" s="58">
        <f>G29-G30-G32+G31</f>
        <v>17824770.283571362</v>
      </c>
      <c r="H33" s="58">
        <f t="shared" ref="H33:K33" si="13">H29-H30-H32+H31</f>
        <v>9982064.3119642418</v>
      </c>
      <c r="I33" s="58">
        <f t="shared" si="13"/>
        <v>10657371.667632105</v>
      </c>
      <c r="J33" s="58">
        <f t="shared" si="13"/>
        <v>10615917.667643324</v>
      </c>
      <c r="K33" s="58">
        <f t="shared" si="13"/>
        <v>10557174.61305525</v>
      </c>
    </row>
    <row r="34" spans="1:11">
      <c r="A34" s="9"/>
      <c r="B34" s="59" t="s">
        <v>316</v>
      </c>
      <c r="C34" s="58">
        <f>'Ann 10'!B14</f>
        <v>-311.625</v>
      </c>
      <c r="D34" s="58">
        <f>'Ann 10'!C14</f>
        <v>3227800.6071428419</v>
      </c>
      <c r="E34" s="58">
        <f>'Ann 10'!D14</f>
        <v>3569889.5142857013</v>
      </c>
      <c r="F34" s="58">
        <f>'Ann 10'!E14</f>
        <v>3902604.786428554</v>
      </c>
      <c r="G34" s="58">
        <f>'Ann 10'!F14</f>
        <v>4255431.0850714082</v>
      </c>
      <c r="H34" s="58">
        <f>'Ann 10'!G14</f>
        <v>2994619.2935892725</v>
      </c>
      <c r="I34" s="58">
        <f>'Ann 10'!H14</f>
        <v>3197211.5002896315</v>
      </c>
      <c r="J34" s="58">
        <f>'Ann 10'!I14</f>
        <v>3184775.3002929972</v>
      </c>
      <c r="K34" s="58">
        <f>'Ann 10'!J14</f>
        <v>3167152.383916575</v>
      </c>
    </row>
    <row r="35" spans="1:11">
      <c r="A35" s="9"/>
      <c r="B35" s="59" t="s">
        <v>103</v>
      </c>
      <c r="C35" s="58">
        <f>C33-C34</f>
        <v>-200727.125</v>
      </c>
      <c r="D35" s="58">
        <f>D33-D34</f>
        <v>7531534.7499999646</v>
      </c>
      <c r="E35" s="58">
        <f t="shared" ref="E35:K35" si="14">E33-E34</f>
        <v>8329742.1999999704</v>
      </c>
      <c r="F35" s="58">
        <f t="shared" si="14"/>
        <v>9106077.8349999599</v>
      </c>
      <c r="G35" s="58">
        <f t="shared" si="14"/>
        <v>13569339.198499955</v>
      </c>
      <c r="H35" s="58">
        <f t="shared" si="14"/>
        <v>6987445.0183749693</v>
      </c>
      <c r="I35" s="58">
        <f t="shared" si="14"/>
        <v>7460160.1673424728</v>
      </c>
      <c r="J35" s="58">
        <f t="shared" si="14"/>
        <v>7431142.3673503269</v>
      </c>
      <c r="K35" s="58">
        <f t="shared" si="14"/>
        <v>7390022.2291386742</v>
      </c>
    </row>
    <row r="36" spans="1:11">
      <c r="A36" s="9"/>
      <c r="B36" s="59" t="s">
        <v>317</v>
      </c>
      <c r="C36" s="58">
        <v>0</v>
      </c>
      <c r="D36" s="58">
        <f>D35*40%</f>
        <v>3012613.8999999859</v>
      </c>
      <c r="E36" s="58">
        <f t="shared" ref="E36:K36" si="15">E35*40%</f>
        <v>3331896.8799999882</v>
      </c>
      <c r="F36" s="58">
        <f t="shared" si="15"/>
        <v>3642431.1339999842</v>
      </c>
      <c r="G36" s="58">
        <f t="shared" si="15"/>
        <v>5427735.6793999821</v>
      </c>
      <c r="H36" s="58">
        <f t="shared" si="15"/>
        <v>2794978.007349988</v>
      </c>
      <c r="I36" s="58">
        <f t="shared" si="15"/>
        <v>2984064.0669369893</v>
      </c>
      <c r="J36" s="58">
        <f t="shared" si="15"/>
        <v>2972456.946940131</v>
      </c>
      <c r="K36" s="58">
        <f t="shared" si="15"/>
        <v>2956008.8916554698</v>
      </c>
    </row>
    <row r="37" spans="1:11">
      <c r="A37" s="9"/>
      <c r="B37" s="59" t="s">
        <v>113</v>
      </c>
      <c r="C37" s="58">
        <f>C35-C36</f>
        <v>-200727.125</v>
      </c>
      <c r="D37" s="58">
        <f t="shared" ref="D37:K37" si="16">D35-D36</f>
        <v>4518920.8499999791</v>
      </c>
      <c r="E37" s="58">
        <f t="shared" si="16"/>
        <v>4997845.3199999817</v>
      </c>
      <c r="F37" s="58">
        <f t="shared" si="16"/>
        <v>5463646.7009999752</v>
      </c>
      <c r="G37" s="58">
        <f t="shared" si="16"/>
        <v>8141603.5190999731</v>
      </c>
      <c r="H37" s="58">
        <f t="shared" si="16"/>
        <v>4192467.0110249813</v>
      </c>
      <c r="I37" s="58">
        <f t="shared" si="16"/>
        <v>4476096.1004054835</v>
      </c>
      <c r="J37" s="58">
        <f t="shared" si="16"/>
        <v>4458685.4204101954</v>
      </c>
      <c r="K37" s="58">
        <f t="shared" si="16"/>
        <v>4434013.3374832049</v>
      </c>
    </row>
    <row r="39" spans="1:11">
      <c r="A39" s="8" t="s">
        <v>298</v>
      </c>
    </row>
    <row r="40" spans="1:11">
      <c r="A40" s="8" t="s">
        <v>286</v>
      </c>
    </row>
    <row r="41" spans="1:11">
      <c r="B41" s="8" t="s">
        <v>170</v>
      </c>
      <c r="C41" s="8">
        <v>50000</v>
      </c>
      <c r="D41" s="8">
        <f>C41*1.05</f>
        <v>52500</v>
      </c>
      <c r="E41" s="8">
        <f t="shared" ref="E41:I41" si="17">D41*1.05</f>
        <v>55125</v>
      </c>
      <c r="F41" s="8">
        <f t="shared" si="17"/>
        <v>57881.25</v>
      </c>
      <c r="G41" s="8">
        <f t="shared" si="17"/>
        <v>60775.3125</v>
      </c>
      <c r="H41" s="8">
        <f t="shared" si="17"/>
        <v>63814.078125</v>
      </c>
      <c r="I41" s="8">
        <f t="shared" si="17"/>
        <v>67004.782031249997</v>
      </c>
      <c r="J41" s="8">
        <f>I41</f>
        <v>67004.782031249997</v>
      </c>
      <c r="K41" s="8">
        <f>J41</f>
        <v>67004.782031249997</v>
      </c>
    </row>
    <row r="42" spans="1:11">
      <c r="B42" s="8" t="s">
        <v>72</v>
      </c>
      <c r="C42" s="8">
        <f>C41*10</f>
        <v>500000</v>
      </c>
      <c r="D42" s="8">
        <f>D41*10</f>
        <v>525000</v>
      </c>
      <c r="E42" s="8">
        <f t="shared" ref="E42:K42" si="18">E41*10</f>
        <v>551250</v>
      </c>
      <c r="F42" s="8">
        <f t="shared" si="18"/>
        <v>578812.5</v>
      </c>
      <c r="G42" s="8">
        <f t="shared" si="18"/>
        <v>607753.125</v>
      </c>
      <c r="H42" s="8">
        <f t="shared" si="18"/>
        <v>638140.78125</v>
      </c>
      <c r="I42" s="8">
        <f t="shared" si="18"/>
        <v>670047.8203125</v>
      </c>
      <c r="J42" s="8">
        <f t="shared" si="18"/>
        <v>670047.8203125</v>
      </c>
      <c r="K42" s="8">
        <f t="shared" si="18"/>
        <v>670047.8203125</v>
      </c>
    </row>
    <row r="43" spans="1:11">
      <c r="A43" s="8" t="s">
        <v>287</v>
      </c>
    </row>
    <row r="44" spans="1:11">
      <c r="A44" s="8" t="s">
        <v>295</v>
      </c>
    </row>
  </sheetData>
  <mergeCells count="3">
    <mergeCell ref="C3:K3"/>
    <mergeCell ref="B3:B4"/>
    <mergeCell ref="A3:A4"/>
  </mergeCells>
  <pageMargins left="0.7" right="0.7" top="0.75" bottom="0.75" header="0.3" footer="0.3"/>
  <pageSetup scale="59" fitToHeight="0" orientation="landscape" r:id="rId1"/>
  <ignoredErrors>
    <ignoredError sqref="D25" formulaRange="1"/>
  </ignoredError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84C10C-E414-4E29-98C1-5FAEC5C52CAE}">
  <sheetPr>
    <pageSetUpPr fitToPage="1"/>
  </sheetPr>
  <dimension ref="A1:M54"/>
  <sheetViews>
    <sheetView topLeftCell="A35" workbookViewId="0">
      <selection activeCell="K26" sqref="K26"/>
    </sheetView>
  </sheetViews>
  <sheetFormatPr defaultRowHeight="14"/>
  <cols>
    <col min="1" max="1" width="8.7265625" style="8"/>
    <col min="2" max="2" width="28.26953125" style="8" customWidth="1"/>
    <col min="3" max="3" width="15.6328125" style="8" bestFit="1" customWidth="1"/>
    <col min="4" max="10" width="13.7265625" style="8" bestFit="1" customWidth="1"/>
    <col min="11" max="11" width="13.6328125" style="8" bestFit="1" customWidth="1"/>
    <col min="12" max="12" width="10" style="8" bestFit="1" customWidth="1"/>
    <col min="13" max="16384" width="8.7265625" style="8"/>
  </cols>
  <sheetData>
    <row r="1" spans="1:11">
      <c r="A1" s="7" t="s">
        <v>114</v>
      </c>
    </row>
    <row r="3" spans="1:11">
      <c r="A3" s="8" t="s">
        <v>115</v>
      </c>
    </row>
    <row r="5" spans="1:11">
      <c r="A5" s="134" t="s">
        <v>37</v>
      </c>
      <c r="B5" s="134" t="s">
        <v>38</v>
      </c>
      <c r="C5" s="134" t="s">
        <v>48</v>
      </c>
      <c r="D5" s="134"/>
      <c r="E5" s="134"/>
      <c r="F5" s="134"/>
      <c r="G5" s="134"/>
      <c r="H5" s="134"/>
      <c r="I5" s="134"/>
      <c r="J5" s="134"/>
      <c r="K5" s="134"/>
    </row>
    <row r="6" spans="1:11">
      <c r="A6" s="134"/>
      <c r="B6" s="134"/>
      <c r="C6" s="77" t="s">
        <v>39</v>
      </c>
      <c r="D6" s="77" t="s">
        <v>40</v>
      </c>
      <c r="E6" s="77" t="s">
        <v>41</v>
      </c>
      <c r="F6" s="77" t="s">
        <v>42</v>
      </c>
      <c r="G6" s="77" t="s">
        <v>43</v>
      </c>
      <c r="H6" s="77" t="s">
        <v>44</v>
      </c>
      <c r="I6" s="77" t="s">
        <v>45</v>
      </c>
      <c r="J6" s="77" t="s">
        <v>46</v>
      </c>
      <c r="K6" s="77" t="s">
        <v>47</v>
      </c>
    </row>
    <row r="7" spans="1:11">
      <c r="A7" s="40" t="s">
        <v>148</v>
      </c>
      <c r="B7" s="62" t="s">
        <v>116</v>
      </c>
      <c r="C7" s="63"/>
      <c r="D7" s="63"/>
      <c r="E7" s="64"/>
      <c r="F7" s="64"/>
      <c r="G7" s="64"/>
      <c r="H7" s="64"/>
      <c r="I7" s="64"/>
      <c r="J7" s="64"/>
      <c r="K7" s="64"/>
    </row>
    <row r="8" spans="1:11">
      <c r="A8" s="32">
        <v>1</v>
      </c>
      <c r="B8" s="33" t="s">
        <v>117</v>
      </c>
      <c r="C8" s="14"/>
      <c r="D8" s="14"/>
      <c r="E8" s="15"/>
      <c r="F8" s="15"/>
      <c r="G8" s="15"/>
      <c r="H8" s="15"/>
      <c r="I8" s="15"/>
      <c r="J8" s="15"/>
      <c r="K8" s="15"/>
    </row>
    <row r="9" spans="1:11">
      <c r="A9" s="32"/>
      <c r="B9" s="33" t="s">
        <v>118</v>
      </c>
      <c r="C9" s="65">
        <f>('Ann 9'!F9*100000)+('Ann 1'!C8*100000)</f>
        <v>9641500</v>
      </c>
      <c r="D9" s="66">
        <f>C11</f>
        <v>8267350</v>
      </c>
      <c r="E9" s="19">
        <f t="shared" ref="E9:K9" si="0">D11</f>
        <v>7094365</v>
      </c>
      <c r="F9" s="19">
        <f t="shared" si="0"/>
        <v>6092866</v>
      </c>
      <c r="G9" s="19">
        <f t="shared" si="0"/>
        <v>5237576.2750000004</v>
      </c>
      <c r="H9" s="19">
        <f t="shared" si="0"/>
        <v>4506965.9912500009</v>
      </c>
      <c r="I9" s="19">
        <f t="shared" si="0"/>
        <v>3882694.6343125012</v>
      </c>
      <c r="J9" s="19">
        <f t="shared" si="0"/>
        <v>3349136.6267406261</v>
      </c>
      <c r="K9" s="19">
        <f t="shared" si="0"/>
        <v>2892977.7015470322</v>
      </c>
    </row>
    <row r="10" spans="1:11">
      <c r="A10" s="32"/>
      <c r="B10" s="33" t="s">
        <v>119</v>
      </c>
      <c r="C10" s="65">
        <f>'Ann 9'!C12+'Ann 9'!D12+'Ann 9'!E12</f>
        <v>1374150</v>
      </c>
      <c r="D10" s="66">
        <f>'Ann 9'!C13+'Ann 9'!D13+'Ann 9'!E13</f>
        <v>1172985</v>
      </c>
      <c r="E10" s="19">
        <f>'Ann 9'!C14+'Ann 9'!D14+'Ann 9'!E14</f>
        <v>1001499</v>
      </c>
      <c r="F10" s="19">
        <f>'Ann 9'!C15+'Ann 9'!D15+'Ann 9'!E15</f>
        <v>855289.72499999998</v>
      </c>
      <c r="G10" s="19">
        <f>'Ann 9'!C16+'Ann 9'!D16+'Ann 9'!E16</f>
        <v>730610.28374999994</v>
      </c>
      <c r="H10" s="19">
        <f>'Ann 9'!C17+'Ann 9'!D17+'Ann 9'!E17</f>
        <v>624271.35693749995</v>
      </c>
      <c r="I10" s="19">
        <f>+'Ann 9'!C18+'Ann 9'!D18+'Ann 9'!E18</f>
        <v>533558.007571875</v>
      </c>
      <c r="J10" s="19">
        <f>'Ann 9'!C19+'Ann 9'!D19+'Ann 9'!E19</f>
        <v>456158.92519359378</v>
      </c>
      <c r="K10" s="19">
        <f>+'Ann 9'!C20+'Ann 9'!D20+'Ann 9'!E20</f>
        <v>390106.24329630472</v>
      </c>
    </row>
    <row r="11" spans="1:11">
      <c r="A11" s="32"/>
      <c r="B11" s="33" t="s">
        <v>120</v>
      </c>
      <c r="C11" s="65">
        <f>C9-C10</f>
        <v>8267350</v>
      </c>
      <c r="D11" s="66">
        <f>D9-D10</f>
        <v>7094365</v>
      </c>
      <c r="E11" s="19">
        <f t="shared" ref="E11:K11" si="1">E9-E10</f>
        <v>6092866</v>
      </c>
      <c r="F11" s="19">
        <f t="shared" si="1"/>
        <v>5237576.2750000004</v>
      </c>
      <c r="G11" s="19">
        <f t="shared" si="1"/>
        <v>4506965.9912500009</v>
      </c>
      <c r="H11" s="19">
        <f t="shared" si="1"/>
        <v>3882694.6343125012</v>
      </c>
      <c r="I11" s="19">
        <f t="shared" si="1"/>
        <v>3349136.6267406261</v>
      </c>
      <c r="J11" s="19">
        <f t="shared" si="1"/>
        <v>2892977.7015470322</v>
      </c>
      <c r="K11" s="19">
        <f t="shared" si="1"/>
        <v>2502871.4582507275</v>
      </c>
    </row>
    <row r="12" spans="1:11">
      <c r="A12" s="32">
        <v>2</v>
      </c>
      <c r="B12" s="33" t="s">
        <v>121</v>
      </c>
      <c r="C12" s="65">
        <f>'Ann 4'!C21*30/360</f>
        <v>22005634</v>
      </c>
      <c r="D12" s="65">
        <f>'Ann 4'!D21*30/360</f>
        <v>24529815</v>
      </c>
      <c r="E12" s="65">
        <f>'Ann 4'!E21*30/360</f>
        <v>26165136</v>
      </c>
      <c r="F12" s="65">
        <f>'Ann 4'!F21*30/360</f>
        <v>27800457</v>
      </c>
      <c r="G12" s="65">
        <f>'Ann 4'!G21*30/360</f>
        <v>29435778</v>
      </c>
      <c r="H12" s="65">
        <f>'Ann 4'!H21*30/360</f>
        <v>31071099</v>
      </c>
      <c r="I12" s="65">
        <f>'Ann 4'!I21*30/360</f>
        <v>32706420</v>
      </c>
      <c r="J12" s="65">
        <f>'Ann 4'!J21*30/360</f>
        <v>32706420</v>
      </c>
      <c r="K12" s="65">
        <f>'Ann 4'!K21*30/360</f>
        <v>32706420</v>
      </c>
    </row>
    <row r="13" spans="1:11">
      <c r="A13" s="32">
        <v>3</v>
      </c>
      <c r="B13" s="67" t="s">
        <v>272</v>
      </c>
      <c r="C13" s="65">
        <f>'Ann 4'!C13</f>
        <v>1950412.8000000119</v>
      </c>
      <c r="D13" s="65">
        <f>'Ann 4'!D13</f>
        <v>4040140.8000000119</v>
      </c>
      <c r="E13" s="65">
        <f>'Ann 4'!E13</f>
        <v>6269184</v>
      </c>
      <c r="F13" s="65">
        <f>'Ann 4'!F13</f>
        <v>8637542.400000006</v>
      </c>
      <c r="G13" s="65">
        <f>'Ann 4'!G13</f>
        <v>11145216</v>
      </c>
      <c r="H13" s="65">
        <f>'Ann 4'!H13</f>
        <v>8498227.1999999881</v>
      </c>
      <c r="I13" s="65">
        <f>'Ann 4'!I13</f>
        <v>5711923.1999999881</v>
      </c>
      <c r="J13" s="65">
        <f>'Ann 4'!J13</f>
        <v>2925619.1999999881</v>
      </c>
      <c r="K13" s="65">
        <f>'Ann 4'!K13</f>
        <v>139315.19999998808</v>
      </c>
    </row>
    <row r="14" spans="1:11">
      <c r="A14" s="32">
        <v>4</v>
      </c>
      <c r="B14" s="33" t="s">
        <v>122</v>
      </c>
      <c r="C14" s="68">
        <f>'Ann 14'!C21</f>
        <v>20893902.875</v>
      </c>
      <c r="D14" s="68">
        <f>'Ann 14'!D21</f>
        <v>23944478.782142829</v>
      </c>
      <c r="E14" s="68">
        <f>'Ann 14'!E21</f>
        <v>27874265.959285665</v>
      </c>
      <c r="F14" s="68">
        <f>'Ann 14'!F21</f>
        <v>31984330.042428527</v>
      </c>
      <c r="G14" s="68">
        <f>'Ann 14'!G21</f>
        <v>35846356.302421413</v>
      </c>
      <c r="H14" s="68">
        <f>'Ann 14'!H21</f>
        <v>44800569.527526736</v>
      </c>
      <c r="I14" s="68">
        <f>'Ann 14'!I21</f>
        <v>54087013.692646943</v>
      </c>
      <c r="J14" s="68">
        <f>'Ann 14'!J21</f>
        <v>61788162.038250707</v>
      </c>
      <c r="K14" s="68">
        <f>'Ann 14'!K21</f>
        <v>69398585.619030192</v>
      </c>
    </row>
    <row r="15" spans="1:11">
      <c r="A15" s="32"/>
      <c r="B15" s="33" t="s">
        <v>130</v>
      </c>
      <c r="C15" s="65">
        <f t="shared" ref="C15:K15" si="2">SUM(C11:C14)</f>
        <v>53117299.675000012</v>
      </c>
      <c r="D15" s="65">
        <f t="shared" si="2"/>
        <v>59608799.582142845</v>
      </c>
      <c r="E15" s="69">
        <f t="shared" si="2"/>
        <v>66401451.959285662</v>
      </c>
      <c r="F15" s="69">
        <f t="shared" si="2"/>
        <v>73659905.717428535</v>
      </c>
      <c r="G15" s="69">
        <f t="shared" si="2"/>
        <v>80934316.293671414</v>
      </c>
      <c r="H15" s="69">
        <f t="shared" si="2"/>
        <v>88252590.361839235</v>
      </c>
      <c r="I15" s="69">
        <f t="shared" si="2"/>
        <v>95854493.519387558</v>
      </c>
      <c r="J15" s="69">
        <f t="shared" si="2"/>
        <v>100313178.93979773</v>
      </c>
      <c r="K15" s="69">
        <f t="shared" si="2"/>
        <v>104747192.27728091</v>
      </c>
    </row>
    <row r="16" spans="1:11">
      <c r="A16" s="32"/>
      <c r="B16" s="33"/>
      <c r="C16" s="65"/>
      <c r="D16" s="65"/>
      <c r="E16" s="69"/>
      <c r="F16" s="69"/>
      <c r="G16" s="69"/>
      <c r="H16" s="69"/>
      <c r="I16" s="69"/>
      <c r="J16" s="69"/>
      <c r="K16" s="69"/>
    </row>
    <row r="17" spans="1:13">
      <c r="A17" s="32" t="s">
        <v>149</v>
      </c>
      <c r="B17" s="70" t="s">
        <v>123</v>
      </c>
      <c r="C17" s="14"/>
      <c r="D17" s="14"/>
      <c r="E17" s="15"/>
      <c r="F17" s="15"/>
      <c r="G17" s="15"/>
      <c r="H17" s="15"/>
      <c r="I17" s="15"/>
      <c r="J17" s="15"/>
      <c r="K17" s="15"/>
    </row>
    <row r="18" spans="1:13">
      <c r="A18" s="32">
        <v>1</v>
      </c>
      <c r="B18" s="33" t="s">
        <v>124</v>
      </c>
      <c r="C18" s="68">
        <f>('Ann 2'!C5+'Ann 2'!C6)*100000</f>
        <v>1190000</v>
      </c>
      <c r="D18" s="68">
        <f>C21</f>
        <v>989272.875</v>
      </c>
      <c r="E18" s="71">
        <f t="shared" ref="E18:K18" si="3">D21</f>
        <v>5508193.7249999791</v>
      </c>
      <c r="F18" s="71">
        <f t="shared" si="3"/>
        <v>10506039.044999961</v>
      </c>
      <c r="G18" s="71">
        <f t="shared" si="3"/>
        <v>15969685.745999936</v>
      </c>
      <c r="H18" s="71">
        <f t="shared" si="3"/>
        <v>24111289.265099909</v>
      </c>
      <c r="I18" s="71">
        <f t="shared" si="3"/>
        <v>28303756.276124891</v>
      </c>
      <c r="J18" s="71">
        <f t="shared" si="3"/>
        <v>32779852.376530375</v>
      </c>
      <c r="K18" s="71">
        <f t="shared" si="3"/>
        <v>37238537.796940573</v>
      </c>
    </row>
    <row r="19" spans="1:13">
      <c r="A19" s="32"/>
      <c r="B19" s="33" t="s">
        <v>125</v>
      </c>
      <c r="C19" s="68">
        <f>'Ann 4'!C37</f>
        <v>-200727.125</v>
      </c>
      <c r="D19" s="68">
        <f>'Ann 4'!D37</f>
        <v>4518920.8499999791</v>
      </c>
      <c r="E19" s="71">
        <f>'Ann 4'!E37</f>
        <v>4997845.3199999817</v>
      </c>
      <c r="F19" s="71">
        <f>'Ann 4'!F37</f>
        <v>5463646.7009999752</v>
      </c>
      <c r="G19" s="71">
        <f>'Ann 4'!G37</f>
        <v>8141603.5190999731</v>
      </c>
      <c r="H19" s="71">
        <f>'Ann 4'!H37</f>
        <v>4192467.0110249813</v>
      </c>
      <c r="I19" s="71">
        <f>'Ann 4'!I37</f>
        <v>4476096.1004054835</v>
      </c>
      <c r="J19" s="71">
        <f>'Ann 4'!J37</f>
        <v>4458685.4204101954</v>
      </c>
      <c r="K19" s="71">
        <f>'Ann 4'!K37</f>
        <v>4434013.3374832049</v>
      </c>
    </row>
    <row r="20" spans="1:13">
      <c r="A20" s="32"/>
      <c r="B20" s="33" t="s">
        <v>126</v>
      </c>
      <c r="C20" s="68">
        <v>0</v>
      </c>
      <c r="D20" s="68">
        <v>0</v>
      </c>
      <c r="E20" s="71">
        <v>0</v>
      </c>
      <c r="F20" s="71">
        <v>0</v>
      </c>
      <c r="G20" s="71">
        <v>0</v>
      </c>
      <c r="H20" s="71">
        <v>0</v>
      </c>
      <c r="I20" s="71">
        <v>0</v>
      </c>
      <c r="J20" s="71">
        <v>0</v>
      </c>
      <c r="K20" s="71">
        <v>0</v>
      </c>
    </row>
    <row r="21" spans="1:13">
      <c r="A21" s="32"/>
      <c r="B21" s="33" t="s">
        <v>127</v>
      </c>
      <c r="C21" s="68">
        <f>C18+C19</f>
        <v>989272.875</v>
      </c>
      <c r="D21" s="68">
        <f t="shared" ref="D21:K21" si="4">D18+D19</f>
        <v>5508193.7249999791</v>
      </c>
      <c r="E21" s="71">
        <f t="shared" si="4"/>
        <v>10506039.044999961</v>
      </c>
      <c r="F21" s="71">
        <f t="shared" si="4"/>
        <v>15969685.745999936</v>
      </c>
      <c r="G21" s="71">
        <f t="shared" si="4"/>
        <v>24111289.265099909</v>
      </c>
      <c r="H21" s="71">
        <f t="shared" si="4"/>
        <v>28303756.276124891</v>
      </c>
      <c r="I21" s="71">
        <f t="shared" si="4"/>
        <v>32779852.376530375</v>
      </c>
      <c r="J21" s="71">
        <f t="shared" si="4"/>
        <v>37238537.796940573</v>
      </c>
      <c r="K21" s="71">
        <f t="shared" si="4"/>
        <v>41672551.134423777</v>
      </c>
    </row>
    <row r="22" spans="1:13">
      <c r="A22" s="32">
        <v>2</v>
      </c>
      <c r="B22" s="33" t="s">
        <v>128</v>
      </c>
      <c r="C22" s="68">
        <f>'Ann 13'!C14*100000</f>
        <v>7986000</v>
      </c>
      <c r="D22" s="68">
        <f>'Ann 13'!C18*100000</f>
        <v>6655000</v>
      </c>
      <c r="E22" s="68">
        <f>'Ann 13'!C22*100000</f>
        <v>5323999.9999999991</v>
      </c>
      <c r="F22" s="68">
        <f>'Ann 13'!C26*100000</f>
        <v>3992999.9999999991</v>
      </c>
      <c r="G22" s="71">
        <f>('Ann 13'!C29-'Ann 13'!D29)*100000</f>
        <v>0</v>
      </c>
      <c r="H22" s="71">
        <f>('Ann 13'!C33-'Ann 13'!D33)*100000</f>
        <v>0</v>
      </c>
      <c r="I22" s="71">
        <v>0</v>
      </c>
      <c r="J22" s="71">
        <v>0</v>
      </c>
      <c r="K22" s="71">
        <v>0</v>
      </c>
    </row>
    <row r="23" spans="1:13">
      <c r="A23" s="32">
        <v>3</v>
      </c>
      <c r="B23" s="67" t="s">
        <v>162</v>
      </c>
      <c r="C23" s="68">
        <f>'Ann 1'!$C$25*100000</f>
        <v>558500</v>
      </c>
      <c r="D23" s="68">
        <f>'Ann 1'!$C$25*100000</f>
        <v>558500</v>
      </c>
      <c r="E23" s="68">
        <f>'Ann 1'!$C$25*100000</f>
        <v>558500</v>
      </c>
      <c r="F23" s="68">
        <f>'Ann 1'!$C$25*100000</f>
        <v>558500</v>
      </c>
      <c r="G23" s="68">
        <f>'Ann 1'!$C$25*100000</f>
        <v>558500</v>
      </c>
      <c r="H23" s="68">
        <f>'Ann 1'!$C$25*100000</f>
        <v>558500</v>
      </c>
      <c r="I23" s="68">
        <f>'Ann 1'!$C$25*100000</f>
        <v>558500</v>
      </c>
      <c r="J23" s="68">
        <f>'Ann 1'!$C$25*100000</f>
        <v>558500</v>
      </c>
      <c r="K23" s="68">
        <f>'Ann 1'!$C$25*100000</f>
        <v>558500</v>
      </c>
    </row>
    <row r="24" spans="1:13">
      <c r="A24" s="32">
        <v>4</v>
      </c>
      <c r="B24" s="67" t="s">
        <v>157</v>
      </c>
      <c r="C24" s="68">
        <f>('Ann 4'!C10+'Ann 4'!C7)*60/360</f>
        <v>43583526.799999997</v>
      </c>
      <c r="D24" s="68">
        <f>('Ann 4'!D10+'Ann 4'!D7)*60/360</f>
        <v>46887105.857142866</v>
      </c>
      <c r="E24" s="68">
        <f>('Ann 4'!E10+'Ann 4'!E7)*60/360</f>
        <v>50012912.914285727</v>
      </c>
      <c r="F24" s="68">
        <f>('Ann 4'!F10+'Ann 4'!F7)*60/360</f>
        <v>53138719.971428573</v>
      </c>
      <c r="G24" s="68">
        <f>('Ann 4'!G10+'Ann 4'!G7)*60/360</f>
        <v>56264527.028571434</v>
      </c>
      <c r="H24" s="68">
        <f>('Ann 4'!H10+'Ann 4'!H7)*60/360</f>
        <v>59390334.085714288</v>
      </c>
      <c r="I24" s="68">
        <f>('Ann 4'!I10+'Ann 4'!I7)*60/360</f>
        <v>62516141.142857149</v>
      </c>
      <c r="J24" s="68">
        <f>('Ann 4'!J10+'Ann 4'!J7)*60/360</f>
        <v>62516141.142857149</v>
      </c>
      <c r="K24" s="68">
        <f>('Ann 4'!K10+'Ann 4'!K7)*60/360</f>
        <v>62516141.142857149</v>
      </c>
    </row>
    <row r="25" spans="1:13">
      <c r="A25" s="32"/>
      <c r="B25" s="33" t="s">
        <v>129</v>
      </c>
      <c r="C25" s="65">
        <f t="shared" ref="C25:K25" si="5">SUM(C21:C24)</f>
        <v>53117299.674999997</v>
      </c>
      <c r="D25" s="65">
        <f t="shared" si="5"/>
        <v>59608799.582142845</v>
      </c>
      <c r="E25" s="65">
        <f t="shared" si="5"/>
        <v>66401451.959285691</v>
      </c>
      <c r="F25" s="65">
        <f t="shared" si="5"/>
        <v>73659905.717428505</v>
      </c>
      <c r="G25" s="65">
        <f t="shared" si="5"/>
        <v>80934316.29367134</v>
      </c>
      <c r="H25" s="65">
        <f t="shared" si="5"/>
        <v>88252590.361839175</v>
      </c>
      <c r="I25" s="65">
        <f t="shared" si="5"/>
        <v>95854493.519387528</v>
      </c>
      <c r="J25" s="65">
        <f t="shared" si="5"/>
        <v>100313178.93979773</v>
      </c>
      <c r="K25" s="65">
        <f t="shared" si="5"/>
        <v>104747192.27728093</v>
      </c>
    </row>
    <row r="26" spans="1:13">
      <c r="A26" s="32"/>
      <c r="B26" s="33"/>
      <c r="C26" s="65"/>
      <c r="D26" s="65"/>
      <c r="E26" s="65"/>
      <c r="F26" s="65"/>
      <c r="G26" s="65"/>
      <c r="H26" s="65"/>
      <c r="I26" s="65"/>
      <c r="J26" s="65"/>
      <c r="K26" s="65"/>
      <c r="L26" s="72"/>
      <c r="M26" s="33"/>
    </row>
    <row r="27" spans="1:13">
      <c r="A27" s="78"/>
      <c r="B27" s="79" t="s">
        <v>131</v>
      </c>
      <c r="C27" s="80"/>
      <c r="D27" s="80"/>
      <c r="E27" s="81"/>
      <c r="F27" s="81"/>
      <c r="G27" s="81"/>
      <c r="H27" s="81"/>
      <c r="I27" s="81"/>
      <c r="J27" s="81"/>
      <c r="K27" s="81"/>
    </row>
    <row r="28" spans="1:13">
      <c r="A28" s="32"/>
      <c r="B28" s="33" t="s">
        <v>132</v>
      </c>
      <c r="C28" s="65">
        <f t="shared" ref="C28:K28" si="6">SUM(C12:C14)</f>
        <v>44849949.675000012</v>
      </c>
      <c r="D28" s="65">
        <f t="shared" si="6"/>
        <v>52514434.582142845</v>
      </c>
      <c r="E28" s="69">
        <f t="shared" si="6"/>
        <v>60308585.959285662</v>
      </c>
      <c r="F28" s="69">
        <f t="shared" si="6"/>
        <v>68422329.442428529</v>
      </c>
      <c r="G28" s="69">
        <f t="shared" si="6"/>
        <v>76427350.302421421</v>
      </c>
      <c r="H28" s="69">
        <f t="shared" si="6"/>
        <v>84369895.727526724</v>
      </c>
      <c r="I28" s="69">
        <f t="shared" si="6"/>
        <v>92505356.892646939</v>
      </c>
      <c r="J28" s="69">
        <f t="shared" si="6"/>
        <v>97420201.238250703</v>
      </c>
      <c r="K28" s="69">
        <f t="shared" si="6"/>
        <v>102244320.81903018</v>
      </c>
    </row>
    <row r="29" spans="1:13">
      <c r="A29" s="32"/>
      <c r="B29" s="33" t="s">
        <v>133</v>
      </c>
      <c r="C29" s="65">
        <f>C24+C23</f>
        <v>44142026.799999997</v>
      </c>
      <c r="D29" s="65">
        <f t="shared" ref="D29:K29" si="7">D24+D23</f>
        <v>47445605.857142866</v>
      </c>
      <c r="E29" s="65">
        <f t="shared" si="7"/>
        <v>50571412.914285727</v>
      </c>
      <c r="F29" s="65">
        <f t="shared" si="7"/>
        <v>53697219.971428573</v>
      </c>
      <c r="G29" s="65">
        <f t="shared" si="7"/>
        <v>56823027.028571434</v>
      </c>
      <c r="H29" s="65">
        <f t="shared" si="7"/>
        <v>59948834.085714288</v>
      </c>
      <c r="I29" s="65">
        <f t="shared" si="7"/>
        <v>63074641.142857149</v>
      </c>
      <c r="J29" s="65">
        <f t="shared" si="7"/>
        <v>63074641.142857149</v>
      </c>
      <c r="K29" s="65">
        <f t="shared" si="7"/>
        <v>63074641.142857149</v>
      </c>
    </row>
    <row r="30" spans="1:13">
      <c r="A30" s="32"/>
      <c r="B30" s="33" t="s">
        <v>137</v>
      </c>
      <c r="C30" s="14">
        <f>C28/C29</f>
        <v>1.0160373894521766</v>
      </c>
      <c r="D30" s="14">
        <f>D28/D29</f>
        <v>1.1068345241551358</v>
      </c>
      <c r="E30" s="15">
        <f t="shared" ref="E30:K30" si="8">E28/E29</f>
        <v>1.192543029428575</v>
      </c>
      <c r="F30" s="15">
        <f t="shared" si="8"/>
        <v>1.2742248011877515</v>
      </c>
      <c r="G30" s="15">
        <f t="shared" si="8"/>
        <v>1.345006668933576</v>
      </c>
      <c r="H30" s="15">
        <f t="shared" si="8"/>
        <v>1.4073650808103362</v>
      </c>
      <c r="I30" s="15">
        <f t="shared" si="8"/>
        <v>1.4666013982248816</v>
      </c>
      <c r="J30" s="15">
        <f t="shared" si="8"/>
        <v>1.544522481191841</v>
      </c>
      <c r="K30" s="15">
        <f t="shared" si="8"/>
        <v>1.6210051926804943</v>
      </c>
    </row>
    <row r="31" spans="1:13">
      <c r="A31" s="32"/>
      <c r="B31" s="67" t="s">
        <v>150</v>
      </c>
      <c r="C31" s="14"/>
      <c r="D31" s="14"/>
      <c r="E31" s="15"/>
      <c r="F31" s="15">
        <f>AVERAGE(C30:K30)</f>
        <v>1.3304600628960852</v>
      </c>
      <c r="G31" s="15"/>
      <c r="H31" s="15"/>
      <c r="I31" s="15"/>
      <c r="J31" s="15"/>
      <c r="K31" s="15"/>
    </row>
    <row r="32" spans="1:13">
      <c r="A32" s="32"/>
      <c r="B32" s="33"/>
      <c r="C32" s="14"/>
      <c r="D32" s="14"/>
      <c r="E32" s="15"/>
      <c r="F32" s="15"/>
      <c r="G32" s="15"/>
      <c r="H32" s="15"/>
      <c r="I32" s="15"/>
      <c r="J32" s="15"/>
      <c r="K32" s="15"/>
    </row>
    <row r="33" spans="1:11">
      <c r="A33" s="78"/>
      <c r="B33" s="79" t="s">
        <v>134</v>
      </c>
      <c r="C33" s="80"/>
      <c r="D33" s="80"/>
      <c r="E33" s="81"/>
      <c r="F33" s="81"/>
      <c r="G33" s="81"/>
      <c r="H33" s="81"/>
      <c r="I33" s="81"/>
      <c r="J33" s="81"/>
      <c r="K33" s="81"/>
    </row>
    <row r="34" spans="1:11">
      <c r="A34" s="32"/>
      <c r="B34" s="33" t="s">
        <v>135</v>
      </c>
      <c r="C34" s="65">
        <f>C22+C23</f>
        <v>8544500</v>
      </c>
      <c r="D34" s="65">
        <f t="shared" ref="D34:K34" si="9">D22+D23</f>
        <v>7213500</v>
      </c>
      <c r="E34" s="65">
        <f t="shared" si="9"/>
        <v>5882499.9999999991</v>
      </c>
      <c r="F34" s="65">
        <f t="shared" si="9"/>
        <v>4551499.9999999991</v>
      </c>
      <c r="G34" s="65">
        <f t="shared" si="9"/>
        <v>558500</v>
      </c>
      <c r="H34" s="65">
        <f t="shared" si="9"/>
        <v>558500</v>
      </c>
      <c r="I34" s="65">
        <f t="shared" si="9"/>
        <v>558500</v>
      </c>
      <c r="J34" s="65">
        <f t="shared" si="9"/>
        <v>558500</v>
      </c>
      <c r="K34" s="65">
        <f t="shared" si="9"/>
        <v>558500</v>
      </c>
    </row>
    <row r="35" spans="1:11">
      <c r="A35" s="32"/>
      <c r="B35" s="33" t="s">
        <v>136</v>
      </c>
      <c r="C35" s="65">
        <f t="shared" ref="C35:K35" si="10">C21</f>
        <v>989272.875</v>
      </c>
      <c r="D35" s="65">
        <f t="shared" si="10"/>
        <v>5508193.7249999791</v>
      </c>
      <c r="E35" s="69">
        <f t="shared" si="10"/>
        <v>10506039.044999961</v>
      </c>
      <c r="F35" s="69">
        <f t="shared" si="10"/>
        <v>15969685.745999936</v>
      </c>
      <c r="G35" s="69">
        <f t="shared" si="10"/>
        <v>24111289.265099909</v>
      </c>
      <c r="H35" s="69">
        <f t="shared" si="10"/>
        <v>28303756.276124891</v>
      </c>
      <c r="I35" s="69">
        <f t="shared" si="10"/>
        <v>32779852.376530375</v>
      </c>
      <c r="J35" s="69">
        <f t="shared" si="10"/>
        <v>37238537.796940573</v>
      </c>
      <c r="K35" s="69">
        <f t="shared" si="10"/>
        <v>41672551.134423777</v>
      </c>
    </row>
    <row r="36" spans="1:11">
      <c r="A36" s="32"/>
      <c r="B36" s="33" t="s">
        <v>137</v>
      </c>
      <c r="C36" s="14">
        <f>C34/C35</f>
        <v>8.6371518070785065</v>
      </c>
      <c r="D36" s="14">
        <f t="shared" ref="D36:K36" si="11">D34/D35</f>
        <v>1.3095944623843141</v>
      </c>
      <c r="E36" s="15">
        <f t="shared" si="11"/>
        <v>0.5599160611153069</v>
      </c>
      <c r="F36" s="15">
        <f t="shared" si="11"/>
        <v>0.28500873920703496</v>
      </c>
      <c r="G36" s="15">
        <f t="shared" si="11"/>
        <v>2.3163423318404031E-2</v>
      </c>
      <c r="H36" s="15">
        <f t="shared" si="11"/>
        <v>1.9732363243641703E-2</v>
      </c>
      <c r="I36" s="15">
        <f t="shared" si="11"/>
        <v>1.7037904673416811E-2</v>
      </c>
      <c r="J36" s="15">
        <f t="shared" si="11"/>
        <v>1.4997903597758476E-2</v>
      </c>
      <c r="K36" s="15">
        <f t="shared" si="11"/>
        <v>1.3402107257567172E-2</v>
      </c>
    </row>
    <row r="37" spans="1:11">
      <c r="A37" s="32"/>
      <c r="B37" s="67" t="s">
        <v>150</v>
      </c>
      <c r="C37" s="14"/>
      <c r="D37" s="14"/>
      <c r="E37" s="15"/>
      <c r="F37" s="15">
        <f>AVERAGE(C36:K36)</f>
        <v>1.2088894190973278</v>
      </c>
      <c r="G37" s="15"/>
      <c r="H37" s="15"/>
      <c r="I37" s="69"/>
      <c r="J37" s="69"/>
      <c r="K37" s="69"/>
    </row>
    <row r="38" spans="1:11">
      <c r="A38" s="32"/>
      <c r="B38" s="33"/>
      <c r="C38" s="14"/>
      <c r="D38" s="14"/>
      <c r="E38" s="15"/>
      <c r="F38" s="15"/>
      <c r="G38" s="15"/>
      <c r="H38" s="15"/>
      <c r="I38" s="69"/>
      <c r="J38" s="69"/>
      <c r="K38" s="69"/>
    </row>
    <row r="39" spans="1:11">
      <c r="A39" s="78"/>
      <c r="B39" s="79" t="s">
        <v>151</v>
      </c>
      <c r="C39" s="80"/>
      <c r="D39" s="80"/>
      <c r="E39" s="81"/>
      <c r="F39" s="81"/>
      <c r="G39" s="81"/>
      <c r="H39" s="81"/>
      <c r="I39" s="82"/>
      <c r="J39" s="82"/>
      <c r="K39" s="82"/>
    </row>
    <row r="40" spans="1:11">
      <c r="A40" s="32"/>
      <c r="B40" s="67" t="s">
        <v>152</v>
      </c>
      <c r="C40" s="65">
        <f t="shared" ref="C40:K40" si="12">C11</f>
        <v>8267350</v>
      </c>
      <c r="D40" s="65">
        <f t="shared" si="12"/>
        <v>7094365</v>
      </c>
      <c r="E40" s="65">
        <f t="shared" si="12"/>
        <v>6092866</v>
      </c>
      <c r="F40" s="65">
        <f t="shared" si="12"/>
        <v>5237576.2750000004</v>
      </c>
      <c r="G40" s="65">
        <f t="shared" si="12"/>
        <v>4506965.9912500009</v>
      </c>
      <c r="H40" s="65">
        <f t="shared" si="12"/>
        <v>3882694.6343125012</v>
      </c>
      <c r="I40" s="65">
        <f t="shared" si="12"/>
        <v>3349136.6267406261</v>
      </c>
      <c r="J40" s="65">
        <f t="shared" si="12"/>
        <v>2892977.7015470322</v>
      </c>
      <c r="K40" s="65">
        <f t="shared" si="12"/>
        <v>2502871.4582507275</v>
      </c>
    </row>
    <row r="41" spans="1:11">
      <c r="A41" s="32"/>
      <c r="B41" s="67" t="s">
        <v>135</v>
      </c>
      <c r="C41" s="65">
        <f t="shared" ref="C41:K41" si="13">C22+C23</f>
        <v>8544500</v>
      </c>
      <c r="D41" s="65">
        <f t="shared" si="13"/>
        <v>7213500</v>
      </c>
      <c r="E41" s="65">
        <f t="shared" si="13"/>
        <v>5882499.9999999991</v>
      </c>
      <c r="F41" s="65">
        <f t="shared" si="13"/>
        <v>4551499.9999999991</v>
      </c>
      <c r="G41" s="65">
        <f t="shared" si="13"/>
        <v>558500</v>
      </c>
      <c r="H41" s="65">
        <f t="shared" si="13"/>
        <v>558500</v>
      </c>
      <c r="I41" s="65">
        <f t="shared" si="13"/>
        <v>558500</v>
      </c>
      <c r="J41" s="65">
        <f t="shared" si="13"/>
        <v>558500</v>
      </c>
      <c r="K41" s="65">
        <f t="shared" si="13"/>
        <v>558500</v>
      </c>
    </row>
    <row r="42" spans="1:11">
      <c r="A42" s="32"/>
      <c r="B42" s="67" t="s">
        <v>146</v>
      </c>
      <c r="C42" s="14">
        <f>C40/C41</f>
        <v>0.96756393001345897</v>
      </c>
      <c r="D42" s="14">
        <f t="shared" ref="D42:G42" si="14">D40/D41</f>
        <v>0.98348443889928605</v>
      </c>
      <c r="E42" s="14">
        <f t="shared" si="14"/>
        <v>1.035761325966851</v>
      </c>
      <c r="F42" s="14">
        <f t="shared" si="14"/>
        <v>1.1507363012193785</v>
      </c>
      <c r="G42" s="14">
        <f t="shared" si="14"/>
        <v>8.0697690085049256</v>
      </c>
      <c r="H42" s="65">
        <v>0</v>
      </c>
      <c r="I42" s="65">
        <v>0</v>
      </c>
      <c r="J42" s="65">
        <v>0</v>
      </c>
      <c r="K42" s="65">
        <v>0</v>
      </c>
    </row>
    <row r="43" spans="1:11">
      <c r="A43" s="32"/>
      <c r="B43" s="67"/>
      <c r="C43" s="14"/>
      <c r="D43" s="14"/>
      <c r="E43" s="15"/>
      <c r="F43" s="15">
        <f>AVERAGE(C42:K42)</f>
        <v>1.3563683338448778</v>
      </c>
      <c r="G43" s="15"/>
      <c r="H43" s="15"/>
      <c r="I43" s="15"/>
      <c r="J43" s="15"/>
      <c r="K43" s="15"/>
    </row>
    <row r="44" spans="1:11">
      <c r="A44" s="32"/>
      <c r="B44" s="33"/>
      <c r="C44" s="14"/>
      <c r="D44" s="14"/>
      <c r="E44" s="15"/>
      <c r="F44" s="15"/>
      <c r="G44" s="15"/>
      <c r="H44" s="15"/>
      <c r="I44" s="69"/>
      <c r="J44" s="69"/>
      <c r="K44" s="69"/>
    </row>
    <row r="45" spans="1:11">
      <c r="A45" s="78"/>
      <c r="B45" s="79" t="s">
        <v>143</v>
      </c>
      <c r="C45" s="80"/>
      <c r="D45" s="80"/>
      <c r="E45" s="81"/>
      <c r="F45" s="81"/>
      <c r="G45" s="81"/>
      <c r="H45" s="81"/>
      <c r="I45" s="82"/>
      <c r="J45" s="82"/>
      <c r="K45" s="82"/>
    </row>
    <row r="46" spans="1:11">
      <c r="A46" s="32"/>
      <c r="B46" s="33" t="s">
        <v>144</v>
      </c>
      <c r="C46" s="68">
        <f>'Ann 4'!C27</f>
        <v>569948.75</v>
      </c>
      <c r="D46" s="68">
        <f>'Ann 4'!D27</f>
        <v>505062.49999999994</v>
      </c>
      <c r="E46" s="68">
        <f>'Ann 4'!E27</f>
        <v>425202.5</v>
      </c>
      <c r="F46" s="68">
        <f>'Ann 4'!F27</f>
        <v>345342.5</v>
      </c>
      <c r="G46" s="68">
        <f>'Ann 4'!G27</f>
        <v>170648.74999999997</v>
      </c>
      <c r="H46" s="68">
        <f>'Ann 4'!H27</f>
        <v>55850</v>
      </c>
      <c r="I46" s="68">
        <f>'Ann 4'!I27</f>
        <v>55850</v>
      </c>
      <c r="J46" s="68">
        <f>'Ann 4'!J27</f>
        <v>55850</v>
      </c>
      <c r="K46" s="68">
        <f>'Ann 4'!K27</f>
        <v>55850</v>
      </c>
    </row>
    <row r="47" spans="1:11">
      <c r="A47" s="32"/>
      <c r="B47" s="33" t="s">
        <v>147</v>
      </c>
      <c r="C47" s="68">
        <f>(SUM('Ann 13'!D10:D13)*100000)+('Ann 1'!$C$25*100000)</f>
        <v>1224000</v>
      </c>
      <c r="D47" s="68">
        <f>(SUM('Ann 13'!D14:D17)*100000)+('Ann 1'!$C$25*100000)</f>
        <v>1889500</v>
      </c>
      <c r="E47" s="68">
        <f>(SUM('Ann 13'!D18:D21)*100000)+('Ann 1'!$C$25*100000)</f>
        <v>1889500</v>
      </c>
      <c r="F47" s="68">
        <f>(SUM('Ann 13'!D22:D25)*100000)+('Ann 1'!$C$25*100000)</f>
        <v>1889500</v>
      </c>
      <c r="G47" s="68">
        <f>(SUM('Ann 13'!D26:D29)*100000)+('Ann 1'!$C$25*100000)</f>
        <v>911500</v>
      </c>
      <c r="H47" s="68">
        <f>(SUM('Ann 13'!D30:D33)*100000)+('Ann 1'!$C$25*100000)</f>
        <v>558500</v>
      </c>
      <c r="I47" s="68">
        <f>(SUM('Ann 13'!D34:D37)*100000)+('Ann 1'!$C$25*100000)</f>
        <v>558500</v>
      </c>
      <c r="J47" s="68">
        <f>(SUM('Ann 13'!D38:D38)*100000)+('Ann 1'!$C$25*100000)</f>
        <v>558500</v>
      </c>
      <c r="K47" s="68">
        <f>(SUM('Ann 13'!D39:D40)*100000)+('Ann 1'!$C$25*100000)</f>
        <v>558500</v>
      </c>
    </row>
    <row r="48" spans="1:11">
      <c r="A48" s="32"/>
      <c r="B48" s="33" t="s">
        <v>8</v>
      </c>
      <c r="C48" s="68">
        <f>SUM(C46:C47)</f>
        <v>1793948.75</v>
      </c>
      <c r="D48" s="68">
        <f t="shared" ref="D48:K48" si="15">SUM(D46:D47)</f>
        <v>2394562.5</v>
      </c>
      <c r="E48" s="71">
        <f t="shared" si="15"/>
        <v>2314702.5</v>
      </c>
      <c r="F48" s="71">
        <f t="shared" si="15"/>
        <v>2234842.5</v>
      </c>
      <c r="G48" s="71">
        <f t="shared" si="15"/>
        <v>1082148.75</v>
      </c>
      <c r="H48" s="71">
        <f t="shared" si="15"/>
        <v>614350</v>
      </c>
      <c r="I48" s="71">
        <f t="shared" si="15"/>
        <v>614350</v>
      </c>
      <c r="J48" s="71">
        <f t="shared" si="15"/>
        <v>614350</v>
      </c>
      <c r="K48" s="71">
        <f t="shared" si="15"/>
        <v>614350</v>
      </c>
    </row>
    <row r="49" spans="1:11">
      <c r="A49" s="32"/>
      <c r="B49" s="33" t="s">
        <v>145</v>
      </c>
      <c r="C49" s="68">
        <f>'Ann 4'!C22</f>
        <v>1943060</v>
      </c>
      <c r="D49" s="68">
        <f>'Ann 4'!D22</f>
        <v>12437382.857142806</v>
      </c>
      <c r="E49" s="71">
        <f>'Ann 4'!E22</f>
        <v>13326333.214285672</v>
      </c>
      <c r="F49" s="71">
        <f>'Ann 4'!F22</f>
        <v>14209314.846428514</v>
      </c>
      <c r="G49" s="71">
        <f>'Ann 4'!G22</f>
        <v>15086029.31732136</v>
      </c>
      <c r="H49" s="71">
        <f>'Ann 4'!H22</f>
        <v>10662185.668901742</v>
      </c>
      <c r="I49" s="71">
        <f>'Ann 4'!I22</f>
        <v>11246779.675203979</v>
      </c>
      <c r="J49" s="71">
        <f>'Ann 4'!J22</f>
        <v>11127926.592836916</v>
      </c>
      <c r="K49" s="71">
        <f>'Ann 4'!K22</f>
        <v>11003130.856351554</v>
      </c>
    </row>
    <row r="50" spans="1:11">
      <c r="A50" s="73"/>
      <c r="B50" s="74" t="s">
        <v>146</v>
      </c>
      <c r="C50" s="24">
        <f>C49/C48</f>
        <v>1.0831190132939974</v>
      </c>
      <c r="D50" s="24">
        <f t="shared" ref="D50:H50" si="16">D49/D48</f>
        <v>5.1940105372663297</v>
      </c>
      <c r="E50" s="75">
        <f t="shared" si="16"/>
        <v>5.7572552905981098</v>
      </c>
      <c r="F50" s="75">
        <f t="shared" si="16"/>
        <v>6.358083330896255</v>
      </c>
      <c r="G50" s="75">
        <f t="shared" si="16"/>
        <v>13.940809262424745</v>
      </c>
      <c r="H50" s="75">
        <f t="shared" si="16"/>
        <v>17.35523019272685</v>
      </c>
      <c r="I50" s="76">
        <v>0</v>
      </c>
      <c r="J50" s="76">
        <v>0</v>
      </c>
      <c r="K50" s="76">
        <v>0</v>
      </c>
    </row>
    <row r="51" spans="1:11">
      <c r="A51" s="33"/>
      <c r="B51" s="67" t="s">
        <v>150</v>
      </c>
      <c r="C51" s="33"/>
      <c r="D51" s="33"/>
      <c r="E51" s="33"/>
      <c r="F51" s="33">
        <f>AVERAGE(C50:G50)</f>
        <v>6.4666554868958865</v>
      </c>
      <c r="G51" s="33"/>
      <c r="H51" s="33"/>
      <c r="I51" s="33"/>
      <c r="J51" s="33"/>
      <c r="K51" s="33"/>
    </row>
    <row r="53" spans="1:11">
      <c r="A53" s="8" t="s">
        <v>332</v>
      </c>
    </row>
    <row r="54" spans="1:11">
      <c r="A54" s="8" t="s">
        <v>296</v>
      </c>
    </row>
  </sheetData>
  <mergeCells count="3">
    <mergeCell ref="A5:A6"/>
    <mergeCell ref="B5:B6"/>
    <mergeCell ref="C5:K5"/>
  </mergeCells>
  <pageMargins left="0.7" right="0.7" top="0.75" bottom="0.75" header="0.3" footer="0.3"/>
  <pageSetup scale="54"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FAA480-223F-4A3F-891A-2F2B726FC76B}">
  <dimension ref="A1:C17"/>
  <sheetViews>
    <sheetView workbookViewId="0">
      <selection activeCell="B18" sqref="B18"/>
    </sheetView>
  </sheetViews>
  <sheetFormatPr defaultRowHeight="14.5"/>
  <cols>
    <col min="1" max="1" width="53.453125" bestFit="1" customWidth="1"/>
    <col min="2" max="2" width="13.6328125" bestFit="1" customWidth="1"/>
    <col min="3" max="3" width="11.1796875" bestFit="1" customWidth="1"/>
    <col min="4" max="4" width="12.54296875" bestFit="1" customWidth="1"/>
  </cols>
  <sheetData>
    <row r="1" spans="1:3">
      <c r="A1" s="3" t="s">
        <v>222</v>
      </c>
    </row>
    <row r="3" spans="1:3">
      <c r="A3" s="2" t="s">
        <v>225</v>
      </c>
    </row>
    <row r="5" spans="1:3">
      <c r="A5" s="3" t="s">
        <v>223</v>
      </c>
    </row>
    <row r="6" spans="1:3">
      <c r="A6" s="4" t="s">
        <v>231</v>
      </c>
    </row>
    <row r="7" spans="1:3">
      <c r="A7" t="s">
        <v>224</v>
      </c>
      <c r="B7">
        <v>5</v>
      </c>
      <c r="C7" t="s">
        <v>228</v>
      </c>
    </row>
    <row r="8" spans="1:3">
      <c r="A8" t="s">
        <v>226</v>
      </c>
      <c r="B8">
        <v>30</v>
      </c>
      <c r="C8" t="s">
        <v>229</v>
      </c>
    </row>
    <row r="9" spans="1:3">
      <c r="A9" t="s">
        <v>227</v>
      </c>
      <c r="B9">
        <f>B8*3000*20/B7</f>
        <v>360000</v>
      </c>
      <c r="C9" t="s">
        <v>230</v>
      </c>
    </row>
    <row r="11" spans="1:3">
      <c r="A11" s="4" t="s">
        <v>232</v>
      </c>
    </row>
    <row r="12" spans="1:3">
      <c r="A12" s="4" t="s">
        <v>224</v>
      </c>
      <c r="B12">
        <v>0.5</v>
      </c>
      <c r="C12" t="s">
        <v>233</v>
      </c>
    </row>
    <row r="13" spans="1:3">
      <c r="A13" s="4" t="s">
        <v>234</v>
      </c>
      <c r="B13">
        <f>B12*3000*30</f>
        <v>45000</v>
      </c>
      <c r="C13" t="s">
        <v>235</v>
      </c>
    </row>
    <row r="15" spans="1:3">
      <c r="A15" t="s">
        <v>236</v>
      </c>
      <c r="B15">
        <f>B13+B9</f>
        <v>405000</v>
      </c>
    </row>
    <row r="16" spans="1:3">
      <c r="A16" t="s">
        <v>237</v>
      </c>
      <c r="B16">
        <v>75</v>
      </c>
    </row>
    <row r="17" spans="1:2">
      <c r="A17" t="s">
        <v>238</v>
      </c>
      <c r="B17" s="6">
        <f>B15*B16</f>
        <v>30375000</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3F1FBF-6FFA-405B-9A95-302F8FAA33B6}">
  <sheetPr>
    <pageSetUpPr fitToPage="1"/>
  </sheetPr>
  <dimension ref="A1:F20"/>
  <sheetViews>
    <sheetView topLeftCell="A2" workbookViewId="0">
      <selection activeCell="E11" sqref="E11"/>
    </sheetView>
  </sheetViews>
  <sheetFormatPr defaultRowHeight="14"/>
  <cols>
    <col min="1" max="1" width="5.6328125" style="8" bestFit="1" customWidth="1"/>
    <col min="2" max="2" width="26.08984375" style="8" bestFit="1" customWidth="1"/>
    <col min="3" max="3" width="8.7265625" style="8"/>
    <col min="4" max="4" width="25" style="8" bestFit="1" customWidth="1"/>
    <col min="5" max="5" width="12.54296875" style="8" bestFit="1" customWidth="1"/>
    <col min="6" max="16384" width="8.7265625" style="8"/>
  </cols>
  <sheetData>
    <row r="1" spans="1:6">
      <c r="A1" s="7" t="s">
        <v>154</v>
      </c>
    </row>
    <row r="3" spans="1:6">
      <c r="A3" s="83" t="s">
        <v>155</v>
      </c>
    </row>
    <row r="5" spans="1:6">
      <c r="A5" s="12" t="s">
        <v>52</v>
      </c>
      <c r="B5" s="12" t="s">
        <v>53</v>
      </c>
      <c r="C5" s="12" t="s">
        <v>54</v>
      </c>
      <c r="D5" s="12" t="s">
        <v>55</v>
      </c>
      <c r="E5" s="12" t="s">
        <v>219</v>
      </c>
    </row>
    <row r="6" spans="1:6">
      <c r="A6" s="59" t="s">
        <v>56</v>
      </c>
      <c r="B6" s="59" t="s">
        <v>251</v>
      </c>
      <c r="C6" s="59">
        <v>1</v>
      </c>
      <c r="D6" s="58">
        <v>25000</v>
      </c>
      <c r="E6" s="58">
        <f>D6*C6*12</f>
        <v>300000</v>
      </c>
    </row>
    <row r="7" spans="1:6">
      <c r="A7" s="9" t="s">
        <v>57</v>
      </c>
      <c r="B7" s="9" t="s">
        <v>252</v>
      </c>
      <c r="C7" s="9">
        <v>1</v>
      </c>
      <c r="D7" s="58">
        <v>12000</v>
      </c>
      <c r="E7" s="58">
        <f>D7*C7*12</f>
        <v>144000</v>
      </c>
    </row>
    <row r="8" spans="1:6">
      <c r="A8" s="9" t="s">
        <v>60</v>
      </c>
      <c r="B8" s="9" t="s">
        <v>253</v>
      </c>
      <c r="C8" s="9">
        <v>3</v>
      </c>
      <c r="D8" s="58">
        <v>7500</v>
      </c>
      <c r="E8" s="58">
        <f>D8*C8*12</f>
        <v>270000</v>
      </c>
    </row>
    <row r="9" spans="1:6">
      <c r="A9" s="9" t="s">
        <v>218</v>
      </c>
      <c r="B9" s="9" t="s">
        <v>156</v>
      </c>
      <c r="C9" s="9">
        <v>2</v>
      </c>
      <c r="D9" s="58">
        <v>6000</v>
      </c>
      <c r="E9" s="58">
        <f>D9*C9*12</f>
        <v>144000</v>
      </c>
    </row>
    <row r="10" spans="1:6">
      <c r="A10" s="9" t="s">
        <v>254</v>
      </c>
      <c r="B10" s="9" t="s">
        <v>255</v>
      </c>
      <c r="C10" s="9">
        <v>5</v>
      </c>
      <c r="D10" s="58"/>
      <c r="E10" s="58">
        <f>400*300*C10</f>
        <v>600000</v>
      </c>
      <c r="F10" s="8" t="s">
        <v>288</v>
      </c>
    </row>
    <row r="11" spans="1:6">
      <c r="A11" s="135" t="s">
        <v>8</v>
      </c>
      <c r="B11" s="135"/>
      <c r="C11" s="135"/>
      <c r="D11" s="135"/>
      <c r="E11" s="84">
        <f>SUM(E6:E10)</f>
        <v>1458000</v>
      </c>
    </row>
    <row r="12" spans="1:6">
      <c r="A12" s="40"/>
      <c r="B12" s="85"/>
      <c r="C12" s="85"/>
      <c r="D12" s="85"/>
      <c r="E12" s="64"/>
    </row>
    <row r="13" spans="1:6">
      <c r="A13" s="73" t="s">
        <v>256</v>
      </c>
      <c r="B13" s="74"/>
      <c r="C13" s="74"/>
      <c r="D13" s="74"/>
      <c r="E13" s="86">
        <f>E11*10%</f>
        <v>145800</v>
      </c>
    </row>
    <row r="14" spans="1:6">
      <c r="A14" s="36" t="s">
        <v>8</v>
      </c>
      <c r="B14" s="37"/>
      <c r="C14" s="37"/>
      <c r="D14" s="37"/>
      <c r="E14" s="87">
        <f>SUM(E11:E13)</f>
        <v>1603800</v>
      </c>
    </row>
    <row r="16" spans="1:6">
      <c r="A16" s="8" t="s">
        <v>58</v>
      </c>
      <c r="E16" s="54">
        <f>E14</f>
        <v>1603800</v>
      </c>
    </row>
    <row r="17" spans="1:5">
      <c r="A17" s="8" t="s">
        <v>59</v>
      </c>
      <c r="E17" s="88">
        <v>0.05</v>
      </c>
    </row>
    <row r="18" spans="1:5">
      <c r="A18" s="8" t="s">
        <v>158</v>
      </c>
      <c r="E18" s="8">
        <f>SUM(C6:C10)</f>
        <v>12</v>
      </c>
    </row>
    <row r="20" spans="1:5">
      <c r="A20" s="8" t="s">
        <v>289</v>
      </c>
    </row>
  </sheetData>
  <mergeCells count="1">
    <mergeCell ref="A11:D11"/>
  </mergeCells>
  <pageMargins left="0.7" right="0.7" top="0.75" bottom="0.75" header="0.3" footer="0.3"/>
  <pageSetup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4D6B57-BA66-499F-8B17-ED356988118B}">
  <dimension ref="A1:F22"/>
  <sheetViews>
    <sheetView workbookViewId="0">
      <selection activeCell="E8" sqref="E8"/>
    </sheetView>
  </sheetViews>
  <sheetFormatPr defaultRowHeight="14"/>
  <cols>
    <col min="1" max="1" width="6.36328125" style="8" bestFit="1" customWidth="1"/>
    <col min="2" max="2" width="18.81640625" style="8" bestFit="1" customWidth="1"/>
    <col min="3" max="3" width="19.453125" style="8" bestFit="1" customWidth="1"/>
    <col min="4" max="4" width="18.08984375" style="8" bestFit="1" customWidth="1"/>
    <col min="5" max="5" width="14.453125" style="8" bestFit="1" customWidth="1"/>
    <col min="6" max="6" width="26.453125" style="8" bestFit="1" customWidth="1"/>
    <col min="7" max="16384" width="8.7265625" style="8"/>
  </cols>
  <sheetData>
    <row r="1" spans="1:6">
      <c r="A1" s="7" t="s">
        <v>62</v>
      </c>
    </row>
    <row r="3" spans="1:6">
      <c r="A3" s="83" t="s">
        <v>61</v>
      </c>
    </row>
    <row r="5" spans="1:6">
      <c r="A5" s="12" t="s">
        <v>24</v>
      </c>
      <c r="B5" s="12" t="s">
        <v>3</v>
      </c>
      <c r="C5" s="12" t="s">
        <v>65</v>
      </c>
      <c r="D5" s="12" t="s">
        <v>11</v>
      </c>
      <c r="E5" s="12" t="s">
        <v>66</v>
      </c>
      <c r="F5" s="12" t="s">
        <v>67</v>
      </c>
    </row>
    <row r="6" spans="1:6">
      <c r="A6" s="9" t="s">
        <v>56</v>
      </c>
      <c r="B6" s="9" t="s">
        <v>13</v>
      </c>
      <c r="C6" s="58">
        <f>'Ann 1'!C15*100000</f>
        <v>500000</v>
      </c>
      <c r="D6" s="58">
        <f>('Ann 1'!C20+'Ann 1'!C37)*100000</f>
        <v>8500000</v>
      </c>
      <c r="E6" s="58">
        <f>'Ann 3'!E19</f>
        <v>378000</v>
      </c>
      <c r="F6" s="89">
        <f>SUM(C6:E6)/100000</f>
        <v>93.78</v>
      </c>
    </row>
    <row r="7" spans="1:6">
      <c r="A7" s="9" t="s">
        <v>57</v>
      </c>
      <c r="B7" s="9" t="s">
        <v>63</v>
      </c>
      <c r="C7" s="58">
        <v>0</v>
      </c>
      <c r="D7" s="58">
        <v>0</v>
      </c>
      <c r="E7" s="58">
        <v>0</v>
      </c>
      <c r="F7" s="90">
        <f>SUM(C7:E7)/100000</f>
        <v>0</v>
      </c>
    </row>
    <row r="8" spans="1:6">
      <c r="A8" s="9" t="s">
        <v>60</v>
      </c>
      <c r="B8" s="9" t="s">
        <v>64</v>
      </c>
      <c r="C8" s="58">
        <v>0</v>
      </c>
      <c r="D8" s="58">
        <v>0</v>
      </c>
      <c r="E8" s="58">
        <f>'Ann 1'!C39*100000</f>
        <v>113500</v>
      </c>
      <c r="F8" s="90">
        <f>SUM(C8:E8)/100000</f>
        <v>1.135</v>
      </c>
    </row>
    <row r="9" spans="1:6">
      <c r="A9" s="9"/>
      <c r="B9" s="135" t="s">
        <v>8</v>
      </c>
      <c r="C9" s="135"/>
      <c r="D9" s="135"/>
      <c r="E9" s="135"/>
      <c r="F9" s="89">
        <f>SUM(F6:F8)</f>
        <v>94.915000000000006</v>
      </c>
    </row>
    <row r="11" spans="1:6">
      <c r="A11" s="91"/>
      <c r="B11" s="91" t="s">
        <v>68</v>
      </c>
      <c r="C11" s="92">
        <v>0.1</v>
      </c>
      <c r="D11" s="92">
        <v>0.15</v>
      </c>
      <c r="E11" s="92">
        <v>0.1</v>
      </c>
      <c r="F11" s="91" t="s">
        <v>173</v>
      </c>
    </row>
    <row r="12" spans="1:6">
      <c r="A12" s="93" t="s">
        <v>69</v>
      </c>
      <c r="B12" s="94">
        <v>1</v>
      </c>
      <c r="C12" s="95">
        <f>C11*C6</f>
        <v>50000</v>
      </c>
      <c r="D12" s="95">
        <f>D11*D6</f>
        <v>1275000</v>
      </c>
      <c r="E12" s="95">
        <f>E11*(E6+E8)</f>
        <v>49150</v>
      </c>
      <c r="F12" s="95">
        <f>SUM(C12:E12)</f>
        <v>1374150</v>
      </c>
    </row>
    <row r="13" spans="1:6">
      <c r="A13" s="93" t="s">
        <v>69</v>
      </c>
      <c r="B13" s="94">
        <v>2</v>
      </c>
      <c r="C13" s="95">
        <f>(C6-C12)*C11</f>
        <v>45000</v>
      </c>
      <c r="D13" s="95">
        <f>(D6-D12)*D11</f>
        <v>1083750</v>
      </c>
      <c r="E13" s="95">
        <f>(E6+E8-E12)*E11</f>
        <v>44235</v>
      </c>
      <c r="F13" s="95">
        <f>SUM(C13:E13)</f>
        <v>1172985</v>
      </c>
    </row>
    <row r="14" spans="1:6">
      <c r="A14" s="93" t="s">
        <v>69</v>
      </c>
      <c r="B14" s="94">
        <v>3</v>
      </c>
      <c r="C14" s="95">
        <f>(C6-C12-C13)*C11</f>
        <v>40500</v>
      </c>
      <c r="D14" s="95">
        <f>(D6-D12-D13)*D11</f>
        <v>921187.5</v>
      </c>
      <c r="E14" s="95">
        <f>(E6+E8-E12-E13)*E11</f>
        <v>39811.5</v>
      </c>
      <c r="F14" s="95">
        <f t="shared" ref="F14:F20" si="0">SUM(C14:E14)</f>
        <v>1001499</v>
      </c>
    </row>
    <row r="15" spans="1:6">
      <c r="A15" s="93" t="s">
        <v>69</v>
      </c>
      <c r="B15" s="94">
        <v>4</v>
      </c>
      <c r="C15" s="95">
        <f>(C6-C12-C13-C14)*C11</f>
        <v>36450</v>
      </c>
      <c r="D15" s="95">
        <f>(D6-D12-D13-D14)*D11</f>
        <v>783009.375</v>
      </c>
      <c r="E15" s="95">
        <f>(E6+E8-E12-E13-E14)*E11</f>
        <v>35830.35</v>
      </c>
      <c r="F15" s="95">
        <f t="shared" si="0"/>
        <v>855289.72499999998</v>
      </c>
    </row>
    <row r="16" spans="1:6">
      <c r="A16" s="93" t="s">
        <v>69</v>
      </c>
      <c r="B16" s="94">
        <v>5</v>
      </c>
      <c r="C16" s="95">
        <f>(C6-C12-C13-C14-C15)*C11</f>
        <v>32805</v>
      </c>
      <c r="D16" s="95">
        <f>(D6-D12-D13-D14-D15)*D11</f>
        <v>665557.96875</v>
      </c>
      <c r="E16" s="95">
        <f>(E6+E8-E12-E13-E14-E15)*E11</f>
        <v>32247.315000000002</v>
      </c>
      <c r="F16" s="95">
        <f t="shared" si="0"/>
        <v>730610.28374999994</v>
      </c>
    </row>
    <row r="17" spans="1:6">
      <c r="A17" s="93" t="s">
        <v>69</v>
      </c>
      <c r="B17" s="94">
        <v>6</v>
      </c>
      <c r="C17" s="95">
        <f>(C6-C12-C13-C14-C15-C16)*C11</f>
        <v>29524.5</v>
      </c>
      <c r="D17" s="95">
        <f>(D6-D12-D13-D14-D15-D16)*D11</f>
        <v>565724.2734375</v>
      </c>
      <c r="E17" s="95">
        <f>(E6+E8-E12-E13-E14-E15-E16)*E11</f>
        <v>29022.583500000004</v>
      </c>
      <c r="F17" s="95">
        <f t="shared" si="0"/>
        <v>624271.35693749995</v>
      </c>
    </row>
    <row r="18" spans="1:6">
      <c r="A18" s="93" t="s">
        <v>69</v>
      </c>
      <c r="B18" s="94">
        <v>7</v>
      </c>
      <c r="C18" s="95">
        <f>(C6-C12-C13-C14-C15-C16-C17)*C11</f>
        <v>26572.050000000003</v>
      </c>
      <c r="D18" s="95">
        <f>(D6-D12-D13-D14-D15-D16-D17)*D11</f>
        <v>480865.63242187497</v>
      </c>
      <c r="E18" s="95">
        <f>(E6+E8-E12-E13-E14-E15-E16-E17)*E11</f>
        <v>26120.325150000004</v>
      </c>
      <c r="F18" s="95">
        <f t="shared" si="0"/>
        <v>533558.007571875</v>
      </c>
    </row>
    <row r="19" spans="1:6">
      <c r="A19" s="93" t="s">
        <v>69</v>
      </c>
      <c r="B19" s="94">
        <v>8</v>
      </c>
      <c r="C19" s="95">
        <f>(C6-C12-C13-C14-C15-C16-C17-C18)*C11</f>
        <v>23914.845000000001</v>
      </c>
      <c r="D19" s="95">
        <f>(D6-D12-D13-D14-D15-D16-D17-D18)*D11</f>
        <v>408735.78755859373</v>
      </c>
      <c r="E19" s="95">
        <f>(E6+E8-E12-E13-E14-E15-E16-E17-E18)*E11</f>
        <v>23508.292635000005</v>
      </c>
      <c r="F19" s="95">
        <f t="shared" si="0"/>
        <v>456158.92519359378</v>
      </c>
    </row>
    <row r="20" spans="1:6">
      <c r="A20" s="93" t="s">
        <v>69</v>
      </c>
      <c r="B20" s="94">
        <v>9</v>
      </c>
      <c r="C20" s="95">
        <f>(C6-C12-C13-C14-C15-C16-C17-C18-C19)*C11</f>
        <v>21523.360500000003</v>
      </c>
      <c r="D20" s="95">
        <f>(D6-D12-D13-D14-D15-D16-D17-D18-D19)*D11</f>
        <v>347425.41942480468</v>
      </c>
      <c r="E20" s="95">
        <f>(E6+E8-E12-E13-E14-E15-E16-E17-E18-E19)*E11</f>
        <v>21157.463371500002</v>
      </c>
      <c r="F20" s="95">
        <f t="shared" si="0"/>
        <v>390106.24329630472</v>
      </c>
    </row>
    <row r="21" spans="1:6">
      <c r="B21" s="26"/>
    </row>
    <row r="22" spans="1:6">
      <c r="A22" s="96"/>
    </row>
  </sheetData>
  <mergeCells count="1">
    <mergeCell ref="B9:E9"/>
  </mergeCells>
  <pageMargins left="0.7" right="0.7" top="0.75" bottom="0.75" header="0.3" footer="0.3"/>
  <pageSetup orientation="landscape"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A6521A-756D-4D90-8C99-73BDFD6A7811}">
  <sheetPr>
    <pageSetUpPr fitToPage="1"/>
  </sheetPr>
  <dimension ref="A1:J14"/>
  <sheetViews>
    <sheetView workbookViewId="0">
      <selection activeCell="B7" sqref="B7"/>
    </sheetView>
  </sheetViews>
  <sheetFormatPr defaultRowHeight="14"/>
  <cols>
    <col min="1" max="1" width="20.90625" style="8" customWidth="1"/>
    <col min="2" max="10" width="13.6328125" style="8" bestFit="1" customWidth="1"/>
    <col min="11" max="16384" width="8.7265625" style="8"/>
  </cols>
  <sheetData>
    <row r="1" spans="1:10">
      <c r="A1" s="7" t="s">
        <v>104</v>
      </c>
    </row>
    <row r="3" spans="1:10">
      <c r="A3" s="83" t="s">
        <v>105</v>
      </c>
    </row>
    <row r="5" spans="1:10">
      <c r="A5" s="136" t="s">
        <v>3</v>
      </c>
      <c r="B5" s="136" t="s">
        <v>48</v>
      </c>
      <c r="C5" s="136"/>
      <c r="D5" s="136"/>
      <c r="E5" s="136"/>
      <c r="F5" s="136"/>
      <c r="G5" s="136"/>
      <c r="H5" s="136"/>
      <c r="I5" s="136"/>
      <c r="J5" s="136"/>
    </row>
    <row r="6" spans="1:10">
      <c r="A6" s="136"/>
      <c r="B6" s="98" t="s">
        <v>39</v>
      </c>
      <c r="C6" s="98" t="s">
        <v>40</v>
      </c>
      <c r="D6" s="98" t="s">
        <v>41</v>
      </c>
      <c r="E6" s="98" t="s">
        <v>42</v>
      </c>
      <c r="F6" s="98" t="s">
        <v>43</v>
      </c>
      <c r="G6" s="98" t="s">
        <v>44</v>
      </c>
      <c r="H6" s="98" t="s">
        <v>45</v>
      </c>
      <c r="I6" s="98" t="s">
        <v>46</v>
      </c>
      <c r="J6" s="98" t="s">
        <v>47</v>
      </c>
    </row>
    <row r="7" spans="1:10">
      <c r="A7" s="9" t="s">
        <v>106</v>
      </c>
      <c r="B7" s="58">
        <f>'Ann 4'!C29</f>
        <v>1373111.25</v>
      </c>
      <c r="C7" s="58">
        <f>'Ann 4'!D29</f>
        <v>11932320.357142806</v>
      </c>
      <c r="D7" s="58">
        <f>'Ann 4'!E29</f>
        <v>12901130.714285672</v>
      </c>
      <c r="E7" s="58">
        <f>'Ann 4'!F29</f>
        <v>13863972.346428514</v>
      </c>
      <c r="F7" s="58">
        <f>'Ann 4'!G29</f>
        <v>14915380.56732136</v>
      </c>
      <c r="G7" s="58">
        <f>'Ann 4'!H29</f>
        <v>10606335.668901742</v>
      </c>
      <c r="H7" s="58">
        <f>'Ann 4'!I29</f>
        <v>11190929.675203979</v>
      </c>
      <c r="I7" s="58">
        <f>'Ann 4'!J29</f>
        <v>11072076.592836916</v>
      </c>
      <c r="J7" s="58">
        <f>'Ann 4'!K29</f>
        <v>10947280.856351554</v>
      </c>
    </row>
    <row r="8" spans="1:10">
      <c r="A8" s="9" t="s">
        <v>107</v>
      </c>
      <c r="B8" s="58">
        <v>0</v>
      </c>
      <c r="C8" s="58">
        <v>0</v>
      </c>
      <c r="D8" s="58">
        <v>0</v>
      </c>
      <c r="E8" s="58">
        <v>0</v>
      </c>
      <c r="F8" s="58">
        <v>0</v>
      </c>
      <c r="G8" s="58">
        <v>0</v>
      </c>
      <c r="H8" s="58">
        <v>0</v>
      </c>
      <c r="I8" s="58">
        <v>0</v>
      </c>
      <c r="J8" s="58">
        <v>0</v>
      </c>
    </row>
    <row r="9" spans="1:10">
      <c r="A9" s="9" t="s">
        <v>108</v>
      </c>
      <c r="B9" s="58">
        <f>B7+B8</f>
        <v>1373111.25</v>
      </c>
      <c r="C9" s="58">
        <f t="shared" ref="C9:J9" si="0">C7+C8</f>
        <v>11932320.357142806</v>
      </c>
      <c r="D9" s="58">
        <f t="shared" si="0"/>
        <v>12901130.714285672</v>
      </c>
      <c r="E9" s="58">
        <f t="shared" si="0"/>
        <v>13863972.346428514</v>
      </c>
      <c r="F9" s="58">
        <f t="shared" si="0"/>
        <v>14915380.56732136</v>
      </c>
      <c r="G9" s="58">
        <f t="shared" si="0"/>
        <v>10606335.668901742</v>
      </c>
      <c r="H9" s="58">
        <f t="shared" si="0"/>
        <v>11190929.675203979</v>
      </c>
      <c r="I9" s="58">
        <f t="shared" si="0"/>
        <v>11072076.592836916</v>
      </c>
      <c r="J9" s="58">
        <f t="shared" si="0"/>
        <v>10947280.856351554</v>
      </c>
    </row>
    <row r="10" spans="1:10">
      <c r="A10" s="9" t="s">
        <v>109</v>
      </c>
      <c r="B10" s="58">
        <f>SUM('Ann 9'!C12:E12)</f>
        <v>1374150</v>
      </c>
      <c r="C10" s="58">
        <f>SUM('Ann 9'!C13:E13)</f>
        <v>1172985</v>
      </c>
      <c r="D10" s="58">
        <f>SUM('Ann 9'!C14:E14)</f>
        <v>1001499</v>
      </c>
      <c r="E10" s="58">
        <f>SUM('Ann 9'!C15:E15)</f>
        <v>855289.72499999998</v>
      </c>
      <c r="F10" s="58">
        <f>SUM('Ann 9'!C16:E16)</f>
        <v>730610.28374999994</v>
      </c>
      <c r="G10" s="58">
        <f>SUM('Ann 9'!C17:E17)</f>
        <v>624271.35693749995</v>
      </c>
      <c r="H10" s="58">
        <f>SUM('Ann 9'!C18:E18)</f>
        <v>533558.007571875</v>
      </c>
      <c r="I10" s="58">
        <f>SUM('Ann 9'!C19:E19)</f>
        <v>456158.92519359378</v>
      </c>
      <c r="J10" s="58">
        <f>SUM('Ann 9'!C20:E20)</f>
        <v>390106.24329630472</v>
      </c>
    </row>
    <row r="11" spans="1:10">
      <c r="A11" s="9" t="s">
        <v>108</v>
      </c>
      <c r="B11" s="58">
        <f>B9-B10</f>
        <v>-1038.75</v>
      </c>
      <c r="C11" s="58">
        <f t="shared" ref="C11:J11" si="1">C9-C10</f>
        <v>10759335.357142806</v>
      </c>
      <c r="D11" s="58">
        <f t="shared" si="1"/>
        <v>11899631.714285672</v>
      </c>
      <c r="E11" s="58">
        <f t="shared" si="1"/>
        <v>13008682.621428514</v>
      </c>
      <c r="F11" s="58">
        <f t="shared" si="1"/>
        <v>14184770.283571361</v>
      </c>
      <c r="G11" s="58">
        <f t="shared" si="1"/>
        <v>9982064.3119642418</v>
      </c>
      <c r="H11" s="58">
        <f t="shared" si="1"/>
        <v>10657371.667632105</v>
      </c>
      <c r="I11" s="58">
        <f t="shared" si="1"/>
        <v>10615917.667643324</v>
      </c>
      <c r="J11" s="58">
        <f t="shared" si="1"/>
        <v>10557174.61305525</v>
      </c>
    </row>
    <row r="12" spans="1:10">
      <c r="A12" s="9" t="s">
        <v>110</v>
      </c>
      <c r="B12" s="97">
        <v>0</v>
      </c>
      <c r="C12" s="97">
        <v>0</v>
      </c>
      <c r="D12" s="97">
        <v>0</v>
      </c>
      <c r="E12" s="97">
        <v>0</v>
      </c>
      <c r="F12" s="97">
        <v>0</v>
      </c>
      <c r="G12" s="97">
        <v>0</v>
      </c>
      <c r="H12" s="97">
        <v>0</v>
      </c>
      <c r="I12" s="97">
        <v>0</v>
      </c>
      <c r="J12" s="97">
        <v>0</v>
      </c>
    </row>
    <row r="13" spans="1:10">
      <c r="A13" s="9" t="s">
        <v>111</v>
      </c>
      <c r="B13" s="84">
        <f>B11</f>
        <v>-1038.75</v>
      </c>
      <c r="C13" s="84">
        <f t="shared" ref="C13:J13" si="2">C11</f>
        <v>10759335.357142806</v>
      </c>
      <c r="D13" s="84">
        <f t="shared" si="2"/>
        <v>11899631.714285672</v>
      </c>
      <c r="E13" s="84">
        <f t="shared" si="2"/>
        <v>13008682.621428514</v>
      </c>
      <c r="F13" s="84">
        <f t="shared" si="2"/>
        <v>14184770.283571361</v>
      </c>
      <c r="G13" s="84">
        <f t="shared" si="2"/>
        <v>9982064.3119642418</v>
      </c>
      <c r="H13" s="84">
        <f t="shared" si="2"/>
        <v>10657371.667632105</v>
      </c>
      <c r="I13" s="84">
        <f t="shared" si="2"/>
        <v>10615917.667643324</v>
      </c>
      <c r="J13" s="84">
        <f t="shared" si="2"/>
        <v>10557174.61305525</v>
      </c>
    </row>
    <row r="14" spans="1:10">
      <c r="A14" s="9" t="s">
        <v>112</v>
      </c>
      <c r="B14" s="84">
        <f>B13*30%</f>
        <v>-311.625</v>
      </c>
      <c r="C14" s="84">
        <f t="shared" ref="C14:J14" si="3">C13*30%</f>
        <v>3227800.6071428419</v>
      </c>
      <c r="D14" s="84">
        <f t="shared" si="3"/>
        <v>3569889.5142857013</v>
      </c>
      <c r="E14" s="84">
        <f t="shared" si="3"/>
        <v>3902604.786428554</v>
      </c>
      <c r="F14" s="84">
        <f t="shared" si="3"/>
        <v>4255431.0850714082</v>
      </c>
      <c r="G14" s="84">
        <f t="shared" si="3"/>
        <v>2994619.2935892725</v>
      </c>
      <c r="H14" s="84">
        <f t="shared" si="3"/>
        <v>3197211.5002896315</v>
      </c>
      <c r="I14" s="84">
        <f t="shared" si="3"/>
        <v>3184775.3002929972</v>
      </c>
      <c r="J14" s="84">
        <f t="shared" si="3"/>
        <v>3167152.383916575</v>
      </c>
    </row>
  </sheetData>
  <mergeCells count="2">
    <mergeCell ref="B5:J5"/>
    <mergeCell ref="A5:A6"/>
  </mergeCells>
  <pageMargins left="0.7" right="0.7" top="0.75" bottom="0.75" header="0.3" footer="0.3"/>
  <pageSetup scale="85" orientation="landscape"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7B239D-A793-4055-957C-367EF6B7112E}">
  <sheetPr>
    <pageSetUpPr fitToPage="1"/>
  </sheetPr>
  <dimension ref="A1:G32"/>
  <sheetViews>
    <sheetView workbookViewId="0">
      <selection activeCell="A32" sqref="A32:E32"/>
    </sheetView>
  </sheetViews>
  <sheetFormatPr defaultRowHeight="14"/>
  <cols>
    <col min="1" max="1" width="8.7265625" style="8"/>
    <col min="2" max="2" width="26.7265625" style="8" bestFit="1" customWidth="1"/>
    <col min="3" max="3" width="14.6328125" style="8" bestFit="1" customWidth="1"/>
    <col min="4" max="4" width="13.54296875" style="8" bestFit="1" customWidth="1"/>
    <col min="5" max="5" width="13.6328125" style="8" bestFit="1" customWidth="1"/>
    <col min="6" max="14" width="8.7265625" style="8"/>
    <col min="15" max="15" width="13.6328125" style="8" bestFit="1" customWidth="1"/>
    <col min="16" max="16" width="12.54296875" style="8" bestFit="1" customWidth="1"/>
    <col min="17" max="16384" width="8.7265625" style="8"/>
  </cols>
  <sheetData>
    <row r="1" spans="1:7">
      <c r="A1" s="7" t="s">
        <v>70</v>
      </c>
    </row>
    <row r="3" spans="1:7">
      <c r="A3" s="101" t="s">
        <v>71</v>
      </c>
      <c r="B3" s="102"/>
      <c r="C3" s="102"/>
      <c r="D3" s="102"/>
      <c r="E3" s="102"/>
    </row>
    <row r="5" spans="1:7">
      <c r="B5" s="8" t="s">
        <v>50</v>
      </c>
      <c r="E5" s="99">
        <f>'Ann 4'!C21/70%</f>
        <v>377239440</v>
      </c>
    </row>
    <row r="6" spans="1:7">
      <c r="B6" s="8" t="s">
        <v>72</v>
      </c>
    </row>
    <row r="7" spans="1:7">
      <c r="B7" s="100" t="s">
        <v>73</v>
      </c>
      <c r="D7" s="54">
        <f>E5*5%</f>
        <v>18861972</v>
      </c>
    </row>
    <row r="8" spans="1:7">
      <c r="B8" s="100" t="s">
        <v>74</v>
      </c>
      <c r="D8" s="54">
        <f>'Ann 2'!C7*100000*10%</f>
        <v>0</v>
      </c>
      <c r="E8" s="54"/>
    </row>
    <row r="9" spans="1:7">
      <c r="B9" s="100" t="s">
        <v>77</v>
      </c>
      <c r="D9" s="54">
        <f>'Ann 4'!K42</f>
        <v>670047.8203125</v>
      </c>
      <c r="E9" s="54">
        <f>SUM(D7:D9)</f>
        <v>19532019.8203125</v>
      </c>
      <c r="G9" s="22"/>
    </row>
    <row r="10" spans="1:7">
      <c r="B10" s="8" t="s">
        <v>75</v>
      </c>
      <c r="E10" s="54">
        <f>E5-E9</f>
        <v>357707420.1796875</v>
      </c>
    </row>
    <row r="11" spans="1:7">
      <c r="B11" s="8" t="s">
        <v>246</v>
      </c>
    </row>
    <row r="12" spans="1:7">
      <c r="B12" s="8" t="s">
        <v>76</v>
      </c>
      <c r="E12" s="54">
        <f>'Ann 8'!E14</f>
        <v>1603800</v>
      </c>
    </row>
    <row r="13" spans="1:7">
      <c r="B13" s="8" t="s">
        <v>331</v>
      </c>
      <c r="E13" s="54">
        <f>'Ann 4'!C9</f>
        <v>170000</v>
      </c>
    </row>
    <row r="14" spans="1:7">
      <c r="B14" s="8" t="s">
        <v>78</v>
      </c>
      <c r="E14" s="54">
        <f>'Ann 9'!F12</f>
        <v>1374150</v>
      </c>
    </row>
    <row r="15" spans="1:7">
      <c r="B15" s="8" t="s">
        <v>284</v>
      </c>
      <c r="E15" s="54">
        <v>200000</v>
      </c>
    </row>
    <row r="16" spans="1:7">
      <c r="B16" s="8" t="s">
        <v>244</v>
      </c>
      <c r="E16" s="54">
        <v>100000</v>
      </c>
    </row>
    <row r="17" spans="1:5">
      <c r="B17" s="8" t="s">
        <v>197</v>
      </c>
      <c r="E17" s="54">
        <f>SUM('Ann 13'!E10:E13)*100000</f>
        <v>514098.75000000006</v>
      </c>
    </row>
    <row r="18" spans="1:5">
      <c r="B18" s="8" t="s">
        <v>79</v>
      </c>
      <c r="E18" s="54">
        <f>SUM(E12:E17)</f>
        <v>3962048.75</v>
      </c>
    </row>
    <row r="20" spans="1:5">
      <c r="B20" s="61" t="s">
        <v>3</v>
      </c>
      <c r="C20" s="61" t="s">
        <v>247</v>
      </c>
    </row>
    <row r="21" spans="1:5">
      <c r="B21" s="9" t="s">
        <v>80</v>
      </c>
      <c r="C21" s="9">
        <f>Budgets!D21</f>
        <v>35</v>
      </c>
    </row>
    <row r="22" spans="1:5">
      <c r="B22" s="9" t="s">
        <v>278</v>
      </c>
      <c r="C22" s="9"/>
    </row>
    <row r="23" spans="1:5">
      <c r="B23" s="9" t="s">
        <v>279</v>
      </c>
      <c r="C23" s="9">
        <f>Budgets!E21*1.1/70%</f>
        <v>28.285714285714288</v>
      </c>
    </row>
    <row r="24" spans="1:5">
      <c r="B24" s="9" t="s">
        <v>280</v>
      </c>
      <c r="C24" s="95">
        <f>D9/Budgets!C21</f>
        <v>5.1302203564291618E-2</v>
      </c>
    </row>
    <row r="25" spans="1:5">
      <c r="B25" s="9" t="s">
        <v>281</v>
      </c>
      <c r="C25" s="9">
        <f>C21*10%</f>
        <v>3.5</v>
      </c>
    </row>
    <row r="26" spans="1:5">
      <c r="B26" s="9" t="s">
        <v>282</v>
      </c>
      <c r="C26" s="95">
        <f>D8/Budgets!C17</f>
        <v>0</v>
      </c>
    </row>
    <row r="27" spans="1:5">
      <c r="B27" s="9" t="s">
        <v>283</v>
      </c>
      <c r="C27" s="9">
        <f>C21-SUM(C23:C26)</f>
        <v>3.1629835107214213</v>
      </c>
    </row>
    <row r="28" spans="1:5">
      <c r="B28" s="9" t="s">
        <v>245</v>
      </c>
      <c r="C28" s="97">
        <f>E18/C27</f>
        <v>1252630.2260413384</v>
      </c>
    </row>
    <row r="29" spans="1:5">
      <c r="B29" s="9" t="s">
        <v>196</v>
      </c>
      <c r="C29" s="103">
        <f>C28/Budgets!C21</f>
        <v>9.5907618678897036E-2</v>
      </c>
    </row>
    <row r="30" spans="1:5">
      <c r="C30" s="34"/>
    </row>
    <row r="31" spans="1:5" ht="49" customHeight="1">
      <c r="A31" s="137" t="s">
        <v>221</v>
      </c>
      <c r="B31" s="137"/>
      <c r="C31" s="137"/>
      <c r="D31" s="137"/>
      <c r="E31" s="137"/>
    </row>
    <row r="32" spans="1:5" ht="86.5" customHeight="1">
      <c r="A32" s="137" t="s">
        <v>334</v>
      </c>
      <c r="B32" s="137"/>
      <c r="C32" s="137"/>
      <c r="D32" s="137"/>
      <c r="E32" s="137"/>
    </row>
  </sheetData>
  <mergeCells count="2">
    <mergeCell ref="A31:E31"/>
    <mergeCell ref="A32:E32"/>
  </mergeCells>
  <pageMargins left="0.7" right="0.7" top="0.75" bottom="0.75" header="0.3" footer="0.3"/>
  <pageSetup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58098D-FBA0-4F7E-BF3C-624224F47C27}">
  <dimension ref="A1:K7"/>
  <sheetViews>
    <sheetView workbookViewId="0">
      <selection activeCell="A8" sqref="A8"/>
    </sheetView>
  </sheetViews>
  <sheetFormatPr defaultRowHeight="14.5"/>
  <sheetData>
    <row r="1" spans="1:11">
      <c r="A1" t="s">
        <v>81</v>
      </c>
    </row>
    <row r="3" spans="1:11">
      <c r="C3" s="138" t="s">
        <v>82</v>
      </c>
      <c r="D3" s="138"/>
      <c r="E3" s="138"/>
      <c r="F3" s="138"/>
      <c r="G3" s="138"/>
      <c r="H3" s="138"/>
      <c r="I3" s="138"/>
      <c r="J3" s="138"/>
      <c r="K3" s="138"/>
    </row>
    <row r="4" spans="1:11">
      <c r="C4">
        <v>1</v>
      </c>
      <c r="D4">
        <v>2</v>
      </c>
      <c r="E4">
        <v>3</v>
      </c>
      <c r="F4">
        <v>4</v>
      </c>
      <c r="G4">
        <v>5</v>
      </c>
      <c r="H4">
        <v>6</v>
      </c>
      <c r="I4">
        <v>7</v>
      </c>
      <c r="J4">
        <v>8</v>
      </c>
      <c r="K4">
        <v>9</v>
      </c>
    </row>
    <row r="5" spans="1:11">
      <c r="A5" t="s">
        <v>83</v>
      </c>
      <c r="C5" t="e">
        <f>'Ann 4'!#REF!</f>
        <v>#REF!</v>
      </c>
      <c r="D5" t="e">
        <f>'Ann 4'!#REF!</f>
        <v>#REF!</v>
      </c>
      <c r="E5" t="e">
        <f>'Ann 4'!#REF!</f>
        <v>#REF!</v>
      </c>
      <c r="F5" t="e">
        <f>'Ann 4'!#REF!</f>
        <v>#REF!</v>
      </c>
      <c r="G5" t="e">
        <f>'Ann 4'!#REF!</f>
        <v>#REF!</v>
      </c>
      <c r="H5" t="e">
        <f>'Ann 4'!#REF!</f>
        <v>#REF!</v>
      </c>
      <c r="I5" t="e">
        <f>'Ann 4'!#REF!</f>
        <v>#REF!</v>
      </c>
      <c r="J5" t="e">
        <f>'Ann 4'!#REF!</f>
        <v>#REF!</v>
      </c>
      <c r="K5" t="e">
        <f>'Ann 4'!#REF!</f>
        <v>#REF!</v>
      </c>
    </row>
    <row r="6" spans="1:11">
      <c r="A6" t="s">
        <v>84</v>
      </c>
      <c r="C6" t="e">
        <f>'Ann 4'!#REF!</f>
        <v>#REF!</v>
      </c>
      <c r="D6" t="e">
        <f>'Ann 4'!#REF!</f>
        <v>#REF!</v>
      </c>
      <c r="E6" t="e">
        <f>'Ann 4'!#REF!</f>
        <v>#REF!</v>
      </c>
      <c r="F6" t="e">
        <f>'Ann 4'!#REF!</f>
        <v>#REF!</v>
      </c>
      <c r="G6" t="e">
        <f>'Ann 4'!#REF!</f>
        <v>#REF!</v>
      </c>
      <c r="H6" t="e">
        <f>'Ann 4'!#REF!</f>
        <v>#REF!</v>
      </c>
      <c r="I6" t="e">
        <f>'Ann 4'!#REF!</f>
        <v>#REF!</v>
      </c>
      <c r="J6" t="e">
        <f>'Ann 4'!#REF!</f>
        <v>#REF!</v>
      </c>
      <c r="K6" t="e">
        <f>'Ann 4'!#REF!</f>
        <v>#REF!</v>
      </c>
    </row>
    <row r="7" spans="1:11">
      <c r="A7" t="s">
        <v>85</v>
      </c>
    </row>
  </sheetData>
  <mergeCells count="1">
    <mergeCell ref="C3:K3"/>
  </mergeCell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B5F0C2-594D-4936-9810-7D289B91BEE1}">
  <dimension ref="A1:G37"/>
  <sheetViews>
    <sheetView workbookViewId="0">
      <selection activeCell="G31" sqref="G31"/>
    </sheetView>
  </sheetViews>
  <sheetFormatPr defaultRowHeight="14"/>
  <cols>
    <col min="1" max="1" width="4.54296875" style="8" bestFit="1" customWidth="1"/>
    <col min="2" max="2" width="7.36328125" style="8" bestFit="1" customWidth="1"/>
    <col min="3" max="3" width="17.81640625" style="8" bestFit="1" customWidth="1"/>
    <col min="4" max="4" width="17.36328125" style="8" bestFit="1" customWidth="1"/>
    <col min="5" max="5" width="7.26953125" style="8" bestFit="1" customWidth="1"/>
    <col min="6" max="16384" width="8.7265625" style="8"/>
  </cols>
  <sheetData>
    <row r="1" spans="1:7">
      <c r="A1" s="7" t="s">
        <v>91</v>
      </c>
    </row>
    <row r="3" spans="1:7">
      <c r="A3" s="83" t="s">
        <v>92</v>
      </c>
    </row>
    <row r="4" spans="1:7">
      <c r="A4" s="8" t="s">
        <v>93</v>
      </c>
      <c r="D4" s="104">
        <f>'Ann 2'!C8</f>
        <v>86.515000000000001</v>
      </c>
    </row>
    <row r="5" spans="1:7">
      <c r="A5" s="8" t="s">
        <v>337</v>
      </c>
      <c r="D5" s="104">
        <f>35%*'Ann 1'!C41</f>
        <v>36.4</v>
      </c>
    </row>
    <row r="6" spans="1:7">
      <c r="A6" s="8" t="s">
        <v>94</v>
      </c>
      <c r="D6" s="105">
        <v>0.06</v>
      </c>
    </row>
    <row r="7" spans="1:7">
      <c r="A7" s="8" t="s">
        <v>95</v>
      </c>
      <c r="D7" s="106" t="s">
        <v>153</v>
      </c>
    </row>
    <row r="9" spans="1:7">
      <c r="A9" s="30" t="s">
        <v>69</v>
      </c>
      <c r="B9" s="30" t="s">
        <v>96</v>
      </c>
      <c r="C9" s="30" t="s">
        <v>97</v>
      </c>
      <c r="D9" s="30" t="s">
        <v>99</v>
      </c>
      <c r="E9" s="30" t="s">
        <v>98</v>
      </c>
    </row>
    <row r="10" spans="1:7">
      <c r="A10" s="139">
        <v>1</v>
      </c>
      <c r="B10" s="9">
        <v>1</v>
      </c>
      <c r="C10" s="89">
        <f>$D$4</f>
        <v>86.515000000000001</v>
      </c>
      <c r="D10" s="9">
        <v>0</v>
      </c>
      <c r="E10" s="9">
        <f>C10*$D$6/4</f>
        <v>1.297725</v>
      </c>
    </row>
    <row r="11" spans="1:7">
      <c r="A11" s="139"/>
      <c r="B11" s="9">
        <v>2</v>
      </c>
      <c r="C11" s="89">
        <f>$D$4</f>
        <v>86.515000000000001</v>
      </c>
      <c r="D11" s="9">
        <v>0</v>
      </c>
      <c r="E11" s="9">
        <f t="shared" ref="E11:E37" si="0">C11*$D$6/4</f>
        <v>1.297725</v>
      </c>
      <c r="G11" s="107"/>
    </row>
    <row r="12" spans="1:7">
      <c r="A12" s="139"/>
      <c r="B12" s="9">
        <v>3</v>
      </c>
      <c r="C12" s="89">
        <f>$D$4</f>
        <v>86.515000000000001</v>
      </c>
      <c r="D12" s="9">
        <f>D4/26</f>
        <v>3.3275000000000001</v>
      </c>
      <c r="E12" s="9">
        <f t="shared" si="0"/>
        <v>1.297725</v>
      </c>
    </row>
    <row r="13" spans="1:7">
      <c r="A13" s="139"/>
      <c r="B13" s="9">
        <v>4</v>
      </c>
      <c r="C13" s="9">
        <f t="shared" ref="C13:C18" si="1">C12-D12</f>
        <v>83.1875</v>
      </c>
      <c r="D13" s="9">
        <f>D12</f>
        <v>3.3275000000000001</v>
      </c>
      <c r="E13" s="9">
        <f t="shared" si="0"/>
        <v>1.2478125</v>
      </c>
    </row>
    <row r="14" spans="1:7">
      <c r="A14" s="139">
        <v>2</v>
      </c>
      <c r="B14" s="9">
        <v>1</v>
      </c>
      <c r="C14" s="9">
        <f t="shared" si="1"/>
        <v>79.86</v>
      </c>
      <c r="D14" s="9">
        <f t="shared" ref="D14:D36" si="2">D13</f>
        <v>3.3275000000000001</v>
      </c>
      <c r="E14" s="9">
        <f t="shared" si="0"/>
        <v>1.1979</v>
      </c>
    </row>
    <row r="15" spans="1:7">
      <c r="A15" s="139"/>
      <c r="B15" s="9">
        <v>2</v>
      </c>
      <c r="C15" s="9">
        <f t="shared" si="1"/>
        <v>76.532499999999999</v>
      </c>
      <c r="D15" s="9">
        <f t="shared" si="2"/>
        <v>3.3275000000000001</v>
      </c>
      <c r="E15" s="9">
        <f t="shared" si="0"/>
        <v>1.1479874999999999</v>
      </c>
    </row>
    <row r="16" spans="1:7">
      <c r="A16" s="139"/>
      <c r="B16" s="9">
        <v>3</v>
      </c>
      <c r="C16" s="9">
        <f t="shared" si="1"/>
        <v>73.204999999999998</v>
      </c>
      <c r="D16" s="9">
        <f t="shared" si="2"/>
        <v>3.3275000000000001</v>
      </c>
      <c r="E16" s="9">
        <f t="shared" si="0"/>
        <v>1.0980749999999999</v>
      </c>
    </row>
    <row r="17" spans="1:5">
      <c r="A17" s="139"/>
      <c r="B17" s="9">
        <v>4</v>
      </c>
      <c r="C17" s="9">
        <f t="shared" si="1"/>
        <v>69.877499999999998</v>
      </c>
      <c r="D17" s="9">
        <f t="shared" si="2"/>
        <v>3.3275000000000001</v>
      </c>
      <c r="E17" s="9">
        <f t="shared" si="0"/>
        <v>1.0481624999999999</v>
      </c>
    </row>
    <row r="18" spans="1:5">
      <c r="A18" s="139">
        <v>3</v>
      </c>
      <c r="B18" s="9">
        <v>1</v>
      </c>
      <c r="C18" s="9">
        <f t="shared" si="1"/>
        <v>66.55</v>
      </c>
      <c r="D18" s="9">
        <f t="shared" si="2"/>
        <v>3.3275000000000001</v>
      </c>
      <c r="E18" s="9">
        <f t="shared" si="0"/>
        <v>0.99824999999999997</v>
      </c>
    </row>
    <row r="19" spans="1:5">
      <c r="A19" s="139"/>
      <c r="B19" s="9">
        <v>2</v>
      </c>
      <c r="C19" s="9">
        <f t="shared" ref="C19:C37" si="3">C18-D18</f>
        <v>63.222499999999997</v>
      </c>
      <c r="D19" s="9">
        <f t="shared" si="2"/>
        <v>3.3275000000000001</v>
      </c>
      <c r="E19" s="9">
        <f t="shared" si="0"/>
        <v>0.94833749999999994</v>
      </c>
    </row>
    <row r="20" spans="1:5">
      <c r="A20" s="139"/>
      <c r="B20" s="9">
        <v>3</v>
      </c>
      <c r="C20" s="9">
        <f t="shared" si="3"/>
        <v>59.894999999999996</v>
      </c>
      <c r="D20" s="9">
        <f t="shared" si="2"/>
        <v>3.3275000000000001</v>
      </c>
      <c r="E20" s="9">
        <f t="shared" si="0"/>
        <v>0.89842499999999992</v>
      </c>
    </row>
    <row r="21" spans="1:5">
      <c r="A21" s="139"/>
      <c r="B21" s="9">
        <v>4</v>
      </c>
      <c r="C21" s="9">
        <f t="shared" si="3"/>
        <v>56.567499999999995</v>
      </c>
      <c r="D21" s="9">
        <f t="shared" si="2"/>
        <v>3.3275000000000001</v>
      </c>
      <c r="E21" s="9">
        <f t="shared" si="0"/>
        <v>0.84851249999999989</v>
      </c>
    </row>
    <row r="22" spans="1:5">
      <c r="A22" s="139">
        <v>4</v>
      </c>
      <c r="B22" s="9">
        <v>1</v>
      </c>
      <c r="C22" s="9">
        <f t="shared" si="3"/>
        <v>53.239999999999995</v>
      </c>
      <c r="D22" s="9">
        <f t="shared" si="2"/>
        <v>3.3275000000000001</v>
      </c>
      <c r="E22" s="9">
        <f t="shared" si="0"/>
        <v>0.79859999999999987</v>
      </c>
    </row>
    <row r="23" spans="1:5">
      <c r="A23" s="139"/>
      <c r="B23" s="9">
        <v>2</v>
      </c>
      <c r="C23" s="9">
        <f t="shared" si="3"/>
        <v>49.912499999999994</v>
      </c>
      <c r="D23" s="9">
        <f t="shared" si="2"/>
        <v>3.3275000000000001</v>
      </c>
      <c r="E23" s="9">
        <f t="shared" si="0"/>
        <v>0.74868749999999984</v>
      </c>
    </row>
    <row r="24" spans="1:5">
      <c r="A24" s="139"/>
      <c r="B24" s="9">
        <v>3</v>
      </c>
      <c r="C24" s="9">
        <f t="shared" si="3"/>
        <v>46.584999999999994</v>
      </c>
      <c r="D24" s="9">
        <f t="shared" si="2"/>
        <v>3.3275000000000001</v>
      </c>
      <c r="E24" s="9">
        <f t="shared" si="0"/>
        <v>0.69877499999999992</v>
      </c>
    </row>
    <row r="25" spans="1:5">
      <c r="A25" s="139"/>
      <c r="B25" s="9">
        <v>4</v>
      </c>
      <c r="C25" s="9">
        <f t="shared" si="3"/>
        <v>43.257499999999993</v>
      </c>
      <c r="D25" s="9">
        <f t="shared" si="2"/>
        <v>3.3275000000000001</v>
      </c>
      <c r="E25" s="9">
        <f t="shared" si="0"/>
        <v>0.6488624999999999</v>
      </c>
    </row>
    <row r="26" spans="1:5">
      <c r="A26" s="139">
        <v>5</v>
      </c>
      <c r="B26" s="9">
        <v>1</v>
      </c>
      <c r="C26" s="9">
        <f t="shared" si="3"/>
        <v>39.929999999999993</v>
      </c>
      <c r="D26" s="9">
        <f t="shared" si="2"/>
        <v>3.3275000000000001</v>
      </c>
      <c r="E26" s="9">
        <f t="shared" si="0"/>
        <v>0.59894999999999987</v>
      </c>
    </row>
    <row r="27" spans="1:5">
      <c r="A27" s="139"/>
      <c r="B27" s="9">
        <v>2</v>
      </c>
      <c r="C27" s="9">
        <f t="shared" si="3"/>
        <v>36.602499999999992</v>
      </c>
      <c r="D27" s="9">
        <v>0.20250000000000001</v>
      </c>
      <c r="E27" s="9">
        <f t="shared" si="0"/>
        <v>0.54903749999999985</v>
      </c>
    </row>
    <row r="28" spans="1:5">
      <c r="A28" s="139"/>
      <c r="B28" s="9">
        <v>3</v>
      </c>
      <c r="C28" s="9">
        <f t="shared" si="3"/>
        <v>36.399999999999991</v>
      </c>
      <c r="D28" s="9">
        <v>0</v>
      </c>
      <c r="E28" s="9">
        <v>0</v>
      </c>
    </row>
    <row r="29" spans="1:5">
      <c r="A29" s="139"/>
      <c r="B29" s="9">
        <v>4</v>
      </c>
      <c r="C29" s="9">
        <v>0</v>
      </c>
      <c r="D29" s="9">
        <f t="shared" si="2"/>
        <v>0</v>
      </c>
      <c r="E29" s="9">
        <f t="shared" si="0"/>
        <v>0</v>
      </c>
    </row>
    <row r="30" spans="1:5">
      <c r="A30" s="139">
        <v>6</v>
      </c>
      <c r="B30" s="9">
        <v>1</v>
      </c>
      <c r="C30" s="9">
        <f t="shared" si="3"/>
        <v>0</v>
      </c>
      <c r="D30" s="9">
        <f t="shared" si="2"/>
        <v>0</v>
      </c>
      <c r="E30" s="9">
        <f t="shared" si="0"/>
        <v>0</v>
      </c>
    </row>
    <row r="31" spans="1:5">
      <c r="A31" s="139"/>
      <c r="B31" s="9">
        <v>2</v>
      </c>
      <c r="C31" s="9">
        <f t="shared" si="3"/>
        <v>0</v>
      </c>
      <c r="D31" s="9">
        <f t="shared" si="2"/>
        <v>0</v>
      </c>
      <c r="E31" s="9">
        <f t="shared" si="0"/>
        <v>0</v>
      </c>
    </row>
    <row r="32" spans="1:5">
      <c r="A32" s="139"/>
      <c r="B32" s="9">
        <v>3</v>
      </c>
      <c r="C32" s="9">
        <f t="shared" si="3"/>
        <v>0</v>
      </c>
      <c r="D32" s="9">
        <f t="shared" si="2"/>
        <v>0</v>
      </c>
      <c r="E32" s="9">
        <f t="shared" si="0"/>
        <v>0</v>
      </c>
    </row>
    <row r="33" spans="1:5">
      <c r="A33" s="139"/>
      <c r="B33" s="9">
        <v>4</v>
      </c>
      <c r="C33" s="9">
        <f t="shared" si="3"/>
        <v>0</v>
      </c>
      <c r="D33" s="9">
        <f t="shared" si="2"/>
        <v>0</v>
      </c>
      <c r="E33" s="9">
        <f t="shared" si="0"/>
        <v>0</v>
      </c>
    </row>
    <row r="34" spans="1:5">
      <c r="A34" s="139">
        <v>7</v>
      </c>
      <c r="B34" s="9">
        <v>1</v>
      </c>
      <c r="C34" s="9">
        <f t="shared" si="3"/>
        <v>0</v>
      </c>
      <c r="D34" s="9">
        <f t="shared" si="2"/>
        <v>0</v>
      </c>
      <c r="E34" s="9">
        <f t="shared" si="0"/>
        <v>0</v>
      </c>
    </row>
    <row r="35" spans="1:5">
      <c r="A35" s="139"/>
      <c r="B35" s="9">
        <v>2</v>
      </c>
      <c r="C35" s="9">
        <f t="shared" si="3"/>
        <v>0</v>
      </c>
      <c r="D35" s="9">
        <f t="shared" si="2"/>
        <v>0</v>
      </c>
      <c r="E35" s="9">
        <f t="shared" si="0"/>
        <v>0</v>
      </c>
    </row>
    <row r="36" spans="1:5">
      <c r="A36" s="139"/>
      <c r="B36" s="9">
        <v>3</v>
      </c>
      <c r="C36" s="9">
        <f t="shared" si="3"/>
        <v>0</v>
      </c>
      <c r="D36" s="9">
        <f t="shared" si="2"/>
        <v>0</v>
      </c>
      <c r="E36" s="9">
        <f t="shared" si="0"/>
        <v>0</v>
      </c>
    </row>
    <row r="37" spans="1:5">
      <c r="A37" s="139"/>
      <c r="B37" s="9">
        <v>4</v>
      </c>
      <c r="C37" s="9">
        <f t="shared" si="3"/>
        <v>0</v>
      </c>
      <c r="D37" s="9">
        <v>0</v>
      </c>
      <c r="E37" s="9">
        <f t="shared" si="0"/>
        <v>0</v>
      </c>
    </row>
  </sheetData>
  <mergeCells count="7">
    <mergeCell ref="A34:A37"/>
    <mergeCell ref="A10:A13"/>
    <mergeCell ref="A14:A17"/>
    <mergeCell ref="A18:A21"/>
    <mergeCell ref="A22:A25"/>
    <mergeCell ref="A26:A29"/>
    <mergeCell ref="A30:A33"/>
  </mergeCells>
  <pageMargins left="0.7" right="0.7" top="0.75" bottom="0.75" header="0.3" footer="0.3"/>
  <pageSetup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DD1C3B-78D2-43F9-ABE8-F6A84BAA4AE1}">
  <sheetPr>
    <pageSetUpPr fitToPage="1"/>
  </sheetPr>
  <dimension ref="A1:L32"/>
  <sheetViews>
    <sheetView workbookViewId="0">
      <selection activeCell="C15" sqref="C15"/>
    </sheetView>
  </sheetViews>
  <sheetFormatPr defaultRowHeight="14"/>
  <cols>
    <col min="1" max="1" width="41.1796875" style="8" bestFit="1" customWidth="1"/>
    <col min="2" max="2" width="14.7265625" style="8" customWidth="1"/>
    <col min="3" max="11" width="14.7265625" style="8" bestFit="1" customWidth="1"/>
    <col min="12" max="12" width="13.6328125" style="8" bestFit="1" customWidth="1"/>
    <col min="13" max="16384" width="8.7265625" style="8"/>
  </cols>
  <sheetData>
    <row r="1" spans="1:11">
      <c r="A1" s="7" t="s">
        <v>297</v>
      </c>
      <c r="B1" s="7"/>
    </row>
    <row r="2" spans="1:11">
      <c r="A2" s="7"/>
      <c r="B2" s="7"/>
    </row>
    <row r="3" spans="1:11">
      <c r="A3" s="61" t="s">
        <v>3</v>
      </c>
      <c r="B3" s="61">
        <v>0</v>
      </c>
      <c r="C3" s="61" t="s">
        <v>39</v>
      </c>
      <c r="D3" s="61" t="s">
        <v>40</v>
      </c>
      <c r="E3" s="61" t="s">
        <v>41</v>
      </c>
      <c r="F3" s="61" t="s">
        <v>42</v>
      </c>
      <c r="G3" s="61" t="s">
        <v>43</v>
      </c>
      <c r="H3" s="61" t="s">
        <v>44</v>
      </c>
      <c r="I3" s="61" t="s">
        <v>45</v>
      </c>
      <c r="J3" s="61" t="s">
        <v>46</v>
      </c>
      <c r="K3" s="61" t="s">
        <v>47</v>
      </c>
    </row>
    <row r="4" spans="1:11">
      <c r="A4" s="9" t="s">
        <v>159</v>
      </c>
      <c r="B4" s="58">
        <f>'Ann 2'!C9*100000</f>
        <v>558500</v>
      </c>
      <c r="C4" s="58">
        <f>B21</f>
        <v>558500</v>
      </c>
      <c r="D4" s="58">
        <f>C21</f>
        <v>20893902.875</v>
      </c>
      <c r="E4" s="58">
        <f t="shared" ref="E4:K4" si="0">D21</f>
        <v>23944478.782142829</v>
      </c>
      <c r="F4" s="58">
        <f t="shared" si="0"/>
        <v>27874265.959285665</v>
      </c>
      <c r="G4" s="58">
        <f t="shared" si="0"/>
        <v>31984330.042428527</v>
      </c>
      <c r="H4" s="58">
        <f t="shared" si="0"/>
        <v>35846356.302421413</v>
      </c>
      <c r="I4" s="58">
        <f t="shared" si="0"/>
        <v>44800569.527526736</v>
      </c>
      <c r="J4" s="58">
        <f t="shared" si="0"/>
        <v>54087013.692646943</v>
      </c>
      <c r="K4" s="58">
        <f t="shared" si="0"/>
        <v>61788162.038250707</v>
      </c>
    </row>
    <row r="5" spans="1:11">
      <c r="A5" s="9" t="s">
        <v>198</v>
      </c>
      <c r="B5" s="58">
        <f>('Ann 2'!C5+'Ann 2'!C6)*100000</f>
        <v>1190000</v>
      </c>
      <c r="C5" s="58">
        <v>0</v>
      </c>
      <c r="D5" s="58">
        <v>0</v>
      </c>
      <c r="E5" s="58">
        <v>0</v>
      </c>
      <c r="F5" s="58">
        <v>0</v>
      </c>
      <c r="G5" s="58">
        <v>0</v>
      </c>
      <c r="H5" s="58">
        <v>0</v>
      </c>
      <c r="I5" s="58">
        <v>0</v>
      </c>
      <c r="J5" s="58">
        <v>0</v>
      </c>
      <c r="K5" s="58">
        <v>0</v>
      </c>
    </row>
    <row r="6" spans="1:11">
      <c r="A6" s="9" t="s">
        <v>199</v>
      </c>
      <c r="B6" s="58">
        <f>'Ann 2'!C8*100000</f>
        <v>8651500</v>
      </c>
      <c r="C6" s="58">
        <v>0</v>
      </c>
      <c r="D6" s="58">
        <v>0</v>
      </c>
      <c r="E6" s="58">
        <v>0</v>
      </c>
      <c r="F6" s="58">
        <v>0</v>
      </c>
      <c r="G6" s="58">
        <v>0</v>
      </c>
      <c r="H6" s="58">
        <v>0</v>
      </c>
      <c r="I6" s="58">
        <v>0</v>
      </c>
      <c r="J6" s="58">
        <v>0</v>
      </c>
      <c r="K6" s="58">
        <v>0</v>
      </c>
    </row>
    <row r="7" spans="1:11">
      <c r="A7" s="9" t="s">
        <v>200</v>
      </c>
      <c r="B7" s="58">
        <f>'Ann 9'!F9*100000</f>
        <v>9491500</v>
      </c>
      <c r="C7" s="58">
        <v>0</v>
      </c>
      <c r="D7" s="58">
        <v>0</v>
      </c>
      <c r="E7" s="58">
        <v>0</v>
      </c>
      <c r="F7" s="58">
        <v>0</v>
      </c>
      <c r="G7" s="58">
        <v>0</v>
      </c>
      <c r="H7" s="58">
        <v>0</v>
      </c>
      <c r="I7" s="58">
        <v>0</v>
      </c>
      <c r="J7" s="58">
        <v>0</v>
      </c>
      <c r="K7" s="58">
        <v>0</v>
      </c>
    </row>
    <row r="8" spans="1:11">
      <c r="A8" s="9" t="s">
        <v>271</v>
      </c>
      <c r="B8" s="58">
        <f>'Ann 1'!C8*100000</f>
        <v>150000</v>
      </c>
      <c r="C8" s="58"/>
      <c r="D8" s="58"/>
      <c r="E8" s="58"/>
      <c r="F8" s="58"/>
      <c r="G8" s="58"/>
      <c r="H8" s="58"/>
      <c r="I8" s="58"/>
      <c r="J8" s="58"/>
      <c r="K8" s="58"/>
    </row>
    <row r="9" spans="1:11">
      <c r="A9" s="9" t="s">
        <v>160</v>
      </c>
      <c r="B9" s="58"/>
      <c r="C9" s="58">
        <f>'Ann 4'!C21-'Ann 5'!C12</f>
        <v>242061974</v>
      </c>
      <c r="D9" s="58">
        <f>'Ann 4'!D21-'Ann 5'!D12</f>
        <v>269827965</v>
      </c>
      <c r="E9" s="58">
        <f>'Ann 4'!E21-'Ann 5'!E12</f>
        <v>287816496</v>
      </c>
      <c r="F9" s="58">
        <f>'Ann 4'!F21-'Ann 5'!F12</f>
        <v>305805027</v>
      </c>
      <c r="G9" s="58">
        <f>'Ann 4'!G21-'Ann 5'!G12</f>
        <v>323793558</v>
      </c>
      <c r="H9" s="58">
        <f>'Ann 4'!H21-'Ann 5'!H12</f>
        <v>341782089</v>
      </c>
      <c r="I9" s="58">
        <f>'Ann 4'!I21-'Ann 5'!I12</f>
        <v>359770620</v>
      </c>
      <c r="J9" s="58">
        <f>'Ann 4'!J21-'Ann 5'!J12</f>
        <v>359770620</v>
      </c>
      <c r="K9" s="58">
        <f>'Ann 4'!K21-'Ann 5'!K12</f>
        <v>359770620</v>
      </c>
    </row>
    <row r="10" spans="1:11">
      <c r="A10" s="9" t="s">
        <v>175</v>
      </c>
      <c r="B10" s="58">
        <v>0</v>
      </c>
      <c r="C10" s="58">
        <v>0</v>
      </c>
      <c r="D10" s="58">
        <f>'Ann 5'!C24</f>
        <v>43583526.799999997</v>
      </c>
      <c r="E10" s="58">
        <f>'Ann 5'!D24</f>
        <v>46887105.857142866</v>
      </c>
      <c r="F10" s="58">
        <f>'Ann 5'!E24</f>
        <v>50012912.914285727</v>
      </c>
      <c r="G10" s="58">
        <f>'Ann 5'!F24</f>
        <v>53138719.971428573</v>
      </c>
      <c r="H10" s="58">
        <f>'Ann 5'!G24</f>
        <v>56264527.028571434</v>
      </c>
      <c r="I10" s="58">
        <f>'Ann 5'!H24</f>
        <v>59390334.085714288</v>
      </c>
      <c r="J10" s="58">
        <f>'Ann 5'!I24</f>
        <v>62516141.142857149</v>
      </c>
      <c r="K10" s="58">
        <f>'Ann 5'!J24</f>
        <v>62516141.142857149</v>
      </c>
    </row>
    <row r="11" spans="1:11">
      <c r="A11" s="9" t="s">
        <v>176</v>
      </c>
      <c r="B11" s="58">
        <v>0</v>
      </c>
      <c r="C11" s="58">
        <v>0</v>
      </c>
      <c r="D11" s="58">
        <f>'Ann 5'!C12</f>
        <v>22005634</v>
      </c>
      <c r="E11" s="58">
        <f>'Ann 5'!D12</f>
        <v>24529815</v>
      </c>
      <c r="F11" s="58">
        <f>'Ann 5'!E12</f>
        <v>26165136</v>
      </c>
      <c r="G11" s="58">
        <f>'Ann 5'!F12</f>
        <v>27800457</v>
      </c>
      <c r="H11" s="58">
        <f>'Ann 5'!G12</f>
        <v>29435778</v>
      </c>
      <c r="I11" s="58">
        <f>'Ann 5'!H12</f>
        <v>31071099</v>
      </c>
      <c r="J11" s="58">
        <f>'Ann 5'!I12</f>
        <v>32706420</v>
      </c>
      <c r="K11" s="58">
        <f>'Ann 5'!J12</f>
        <v>32706420</v>
      </c>
    </row>
    <row r="12" spans="1:11">
      <c r="A12" s="9" t="s">
        <v>177</v>
      </c>
      <c r="B12" s="58">
        <v>0</v>
      </c>
      <c r="C12" s="58">
        <f>'Ann 4'!C11+'Ann 4'!C18-'Ann 5'!C24</f>
        <v>220491434</v>
      </c>
      <c r="D12" s="58">
        <f>'Ann 4'!D11+'Ann 4'!D18-'Ann 5'!D24</f>
        <v>237123019.28571433</v>
      </c>
      <c r="E12" s="58">
        <f>'Ann 4'!E11+'Ann 4'!E18-'Ann 5'!E24</f>
        <v>252871429.0714286</v>
      </c>
      <c r="F12" s="58">
        <f>'Ann 4'!F11+'Ann 4'!F18-'Ann 5'!F24</f>
        <v>268625807.58214289</v>
      </c>
      <c r="G12" s="58">
        <f>'Ann 4'!G11+'Ann 4'!G18-'Ann 5'!G24</f>
        <v>284386453.25410718</v>
      </c>
      <c r="H12" s="58">
        <f>'Ann 4'!H11+'Ann 4'!H18-'Ann 5'!H24</f>
        <v>300153679.44538397</v>
      </c>
      <c r="I12" s="58">
        <f>'Ann 4'!I11+'Ann 4'!I18-'Ann 5'!I24</f>
        <v>315927815.18193889</v>
      </c>
      <c r="J12" s="58">
        <f>'Ann 4'!J11+'Ann 4'!J18-'Ann 5'!J24</f>
        <v>316046668.26430595</v>
      </c>
      <c r="K12" s="58">
        <f>'Ann 4'!K11+'Ann 4'!K18-'Ann 5'!K24</f>
        <v>316171464.00079131</v>
      </c>
    </row>
    <row r="13" spans="1:11">
      <c r="A13" s="9" t="s">
        <v>243</v>
      </c>
      <c r="B13" s="58">
        <f>'Ann 4'!C30</f>
        <v>200000</v>
      </c>
      <c r="C13" s="58">
        <v>0</v>
      </c>
      <c r="D13" s="58">
        <v>0</v>
      </c>
      <c r="E13" s="58">
        <v>0</v>
      </c>
      <c r="F13" s="58">
        <v>0</v>
      </c>
      <c r="G13" s="58">
        <v>0</v>
      </c>
      <c r="H13" s="58">
        <v>0</v>
      </c>
      <c r="I13" s="58">
        <v>0</v>
      </c>
      <c r="J13" s="58">
        <v>0</v>
      </c>
      <c r="K13" s="58">
        <v>0</v>
      </c>
    </row>
    <row r="14" spans="1:11">
      <c r="A14" s="9" t="s">
        <v>161</v>
      </c>
      <c r="B14" s="58">
        <v>0</v>
      </c>
      <c r="C14" s="58">
        <f>'Ann 4'!C27</f>
        <v>569948.75</v>
      </c>
      <c r="D14" s="58">
        <f>'Ann 4'!D27</f>
        <v>505062.49999999994</v>
      </c>
      <c r="E14" s="58">
        <f>'Ann 4'!E27</f>
        <v>425202.5</v>
      </c>
      <c r="F14" s="58">
        <f>'Ann 4'!F27</f>
        <v>345342.5</v>
      </c>
      <c r="G14" s="58">
        <f>'Ann 4'!G27</f>
        <v>170648.74999999997</v>
      </c>
      <c r="H14" s="58">
        <f>'Ann 4'!H27</f>
        <v>55850</v>
      </c>
      <c r="I14" s="58">
        <f>'Ann 4'!I27</f>
        <v>55850</v>
      </c>
      <c r="J14" s="58">
        <f>'Ann 4'!J27</f>
        <v>55850</v>
      </c>
      <c r="K14" s="58">
        <f>'Ann 4'!K27</f>
        <v>55850</v>
      </c>
    </row>
    <row r="15" spans="1:11">
      <c r="A15" s="9"/>
      <c r="B15" s="58">
        <f>B4+B5+B6-B7-B8-B13</f>
        <v>558500</v>
      </c>
      <c r="C15" s="58">
        <f>C4+C9-C10+C11-C12-C14+C5+C6-C7</f>
        <v>21559091.25</v>
      </c>
      <c r="D15" s="58">
        <f>D4+D9-D10+D11-D12-D14+D5+D6-D7</f>
        <v>31515893.28928566</v>
      </c>
      <c r="E15" s="58">
        <f>E4+E9-E10+E11-E12-E14+E5+E6-E7</f>
        <v>36107052.353571355</v>
      </c>
      <c r="F15" s="58">
        <f t="shared" ref="F15:K15" si="1">F4+F9-F10+F11-F12-F14+F5+F6-F7</f>
        <v>40860365.962857068</v>
      </c>
      <c r="G15" s="58">
        <f t="shared" si="1"/>
        <v>45882523.066892803</v>
      </c>
      <c r="H15" s="58">
        <f t="shared" si="1"/>
        <v>50590166.828465998</v>
      </c>
      <c r="I15" s="58">
        <f t="shared" si="1"/>
        <v>60268289.259873569</v>
      </c>
      <c r="J15" s="58">
        <f t="shared" si="1"/>
        <v>67945394.285483837</v>
      </c>
      <c r="K15" s="58">
        <f t="shared" si="1"/>
        <v>75521746.894602239</v>
      </c>
    </row>
    <row r="16" spans="1:11">
      <c r="A16" s="9" t="s">
        <v>179</v>
      </c>
      <c r="B16" s="58">
        <v>0</v>
      </c>
      <c r="C16" s="58">
        <f>'Ann 4'!C34</f>
        <v>-311.625</v>
      </c>
      <c r="D16" s="58">
        <f>'Ann 4'!D34</f>
        <v>3227800.6071428419</v>
      </c>
      <c r="E16" s="58">
        <f>'Ann 4'!E34</f>
        <v>3569889.5142857013</v>
      </c>
      <c r="F16" s="58">
        <f>'Ann 4'!F34</f>
        <v>3902604.786428554</v>
      </c>
      <c r="G16" s="58">
        <f>'Ann 4'!G34</f>
        <v>4255431.0850714082</v>
      </c>
      <c r="H16" s="58">
        <f>'Ann 4'!H34</f>
        <v>2994619.2935892725</v>
      </c>
      <c r="I16" s="58">
        <f>'Ann 4'!I34</f>
        <v>3197211.5002896315</v>
      </c>
      <c r="J16" s="58">
        <f>'Ann 4'!J34</f>
        <v>3184775.3002929972</v>
      </c>
      <c r="K16" s="58">
        <f>'Ann 4'!K34</f>
        <v>3167152.383916575</v>
      </c>
    </row>
    <row r="17" spans="1:12">
      <c r="A17" s="9"/>
      <c r="B17" s="58">
        <v>0</v>
      </c>
      <c r="C17" s="58">
        <f>C15-C16</f>
        <v>21559402.875</v>
      </c>
      <c r="D17" s="58">
        <f t="shared" ref="D17:K17" si="2">D15-D16</f>
        <v>28288092.682142816</v>
      </c>
      <c r="E17" s="58">
        <f t="shared" si="2"/>
        <v>32537162.839285653</v>
      </c>
      <c r="F17" s="58">
        <f t="shared" si="2"/>
        <v>36957761.176428512</v>
      </c>
      <c r="G17" s="58">
        <f t="shared" si="2"/>
        <v>41627091.981821395</v>
      </c>
      <c r="H17" s="58">
        <f t="shared" si="2"/>
        <v>47595547.534876727</v>
      </c>
      <c r="I17" s="58">
        <f t="shared" si="2"/>
        <v>57071077.759583935</v>
      </c>
      <c r="J17" s="58">
        <f t="shared" si="2"/>
        <v>64760618.985190839</v>
      </c>
      <c r="K17" s="58">
        <f t="shared" si="2"/>
        <v>72354594.510685667</v>
      </c>
    </row>
    <row r="18" spans="1:12">
      <c r="A18" s="9" t="s">
        <v>178</v>
      </c>
      <c r="B18" s="58">
        <v>0</v>
      </c>
      <c r="C18" s="58">
        <f>'Ann 4'!C36</f>
        <v>0</v>
      </c>
      <c r="D18" s="58">
        <f>'Ann 4'!D36</f>
        <v>3012613.8999999859</v>
      </c>
      <c r="E18" s="58">
        <f>'Ann 4'!E36</f>
        <v>3331896.8799999882</v>
      </c>
      <c r="F18" s="58">
        <f>'Ann 4'!F36</f>
        <v>3642431.1339999842</v>
      </c>
      <c r="G18" s="58">
        <f>'Ann 4'!G36</f>
        <v>5427735.6793999821</v>
      </c>
      <c r="H18" s="58">
        <f>'Ann 4'!H36</f>
        <v>2794978.007349988</v>
      </c>
      <c r="I18" s="58">
        <f>'Ann 4'!I36</f>
        <v>2984064.0669369893</v>
      </c>
      <c r="J18" s="58">
        <f>'Ann 4'!J36</f>
        <v>2972456.946940131</v>
      </c>
      <c r="K18" s="58">
        <f>'Ann 4'!K36</f>
        <v>2956008.8916554698</v>
      </c>
    </row>
    <row r="19" spans="1:12">
      <c r="A19" s="9"/>
      <c r="B19" s="58">
        <v>0</v>
      </c>
      <c r="C19" s="58">
        <f>C17-C18</f>
        <v>21559402.875</v>
      </c>
      <c r="D19" s="58">
        <f t="shared" ref="D19:K19" si="3">D17-D18</f>
        <v>25275478.782142829</v>
      </c>
      <c r="E19" s="58">
        <f t="shared" si="3"/>
        <v>29205265.959285665</v>
      </c>
      <c r="F19" s="58">
        <f t="shared" si="3"/>
        <v>33315330.042428527</v>
      </c>
      <c r="G19" s="58">
        <f t="shared" si="3"/>
        <v>36199356.302421413</v>
      </c>
      <c r="H19" s="58">
        <f t="shared" si="3"/>
        <v>44800569.527526736</v>
      </c>
      <c r="I19" s="58">
        <f t="shared" si="3"/>
        <v>54087013.692646943</v>
      </c>
      <c r="J19" s="58">
        <f t="shared" si="3"/>
        <v>61788162.038250707</v>
      </c>
      <c r="K19" s="58">
        <f t="shared" si="3"/>
        <v>69398585.619030192</v>
      </c>
    </row>
    <row r="20" spans="1:12">
      <c r="A20" s="9" t="s">
        <v>180</v>
      </c>
      <c r="B20" s="58">
        <v>0</v>
      </c>
      <c r="C20" s="58">
        <f>SUM('Ann 13'!D10:D13)*100000</f>
        <v>665500</v>
      </c>
      <c r="D20" s="58">
        <f>SUM('Ann 13'!D14:D17)*100000</f>
        <v>1331000</v>
      </c>
      <c r="E20" s="58">
        <f>SUM('Ann 13'!D18:D21)*100000</f>
        <v>1331000</v>
      </c>
      <c r="F20" s="58">
        <f>SUM('Ann 13'!D22:D25)*100000</f>
        <v>1331000</v>
      </c>
      <c r="G20" s="58">
        <f>SUM('Ann 13'!D26:D29)*100000</f>
        <v>353000</v>
      </c>
      <c r="H20" s="58">
        <f>SUM('Ann 13'!D30:D33)*100000</f>
        <v>0</v>
      </c>
      <c r="I20" s="58">
        <f>SUM('Ann 13'!D34:D37)*100000</f>
        <v>0</v>
      </c>
      <c r="J20" s="58">
        <v>0</v>
      </c>
      <c r="K20" s="58">
        <v>0</v>
      </c>
    </row>
    <row r="21" spans="1:12">
      <c r="A21" s="9" t="s">
        <v>181</v>
      </c>
      <c r="B21" s="58">
        <f>B4+B5+B6-B7-B13-B8</f>
        <v>558500</v>
      </c>
      <c r="C21" s="58">
        <f>C19-C20</f>
        <v>20893902.875</v>
      </c>
      <c r="D21" s="58">
        <f>D19-D20</f>
        <v>23944478.782142829</v>
      </c>
      <c r="E21" s="58">
        <f>E19-E20</f>
        <v>27874265.959285665</v>
      </c>
      <c r="F21" s="58">
        <f t="shared" ref="F21:K21" si="4">F19-F20</f>
        <v>31984330.042428527</v>
      </c>
      <c r="G21" s="58">
        <f t="shared" si="4"/>
        <v>35846356.302421413</v>
      </c>
      <c r="H21" s="58">
        <f t="shared" si="4"/>
        <v>44800569.527526736</v>
      </c>
      <c r="I21" s="58">
        <f t="shared" si="4"/>
        <v>54087013.692646943</v>
      </c>
      <c r="J21" s="58">
        <f t="shared" si="4"/>
        <v>61788162.038250707</v>
      </c>
      <c r="K21" s="58">
        <f t="shared" si="4"/>
        <v>69398585.619030192</v>
      </c>
    </row>
    <row r="22" spans="1:12">
      <c r="B22" s="54"/>
    </row>
    <row r="23" spans="1:12">
      <c r="A23" s="108" t="s">
        <v>182</v>
      </c>
      <c r="B23" s="109">
        <v>0.06</v>
      </c>
      <c r="C23" s="110"/>
      <c r="D23" s="108"/>
      <c r="E23" s="108"/>
      <c r="F23" s="108"/>
      <c r="G23" s="108"/>
      <c r="H23" s="108"/>
      <c r="I23" s="108"/>
      <c r="J23" s="108"/>
      <c r="K23" s="108"/>
      <c r="L23" s="108"/>
    </row>
    <row r="24" spans="1:12">
      <c r="A24" s="108" t="s">
        <v>183</v>
      </c>
      <c r="B24" s="108">
        <v>1</v>
      </c>
      <c r="C24" s="111">
        <f>1/(1+$B$23)</f>
        <v>0.94339622641509424</v>
      </c>
      <c r="D24" s="111">
        <f>1/((1+$B$23)*(1+$B$23))</f>
        <v>0.88999644001423983</v>
      </c>
      <c r="E24" s="111">
        <f>1/((1+$B$23)*(1+$B$23)*(1+$B$23))</f>
        <v>0.8396192830323016</v>
      </c>
      <c r="F24" s="111">
        <f>1/((1+$B$23)*(1+$B$23)*(1+$B$23)*(1+$B$23))</f>
        <v>0.79209366323802044</v>
      </c>
      <c r="G24" s="111">
        <f>1/((1+$B$23)*(1+$B$23)*(1+$B$23)*(1+$B$23)*(1+$B$23))</f>
        <v>0.74725817286605689</v>
      </c>
      <c r="H24" s="111">
        <f>1/((1+$B$23)*(1+$B$23)*(1+$B$23)*(1+$B$23)*(1+$B$23)*(1+$B$23))</f>
        <v>0.70496054043967626</v>
      </c>
      <c r="I24" s="111">
        <f>1/((1+$B$23)*(1+$B$23)*(1+$B$23)*(1+$B$23)*(1+$B$23)*(1+$B$23)*(1+$B$23))</f>
        <v>0.6650571136223361</v>
      </c>
      <c r="J24" s="111">
        <f>1/((1+$B$23)*(1+$B$23)*(1+$B$23)*(1+$B$23)*(1+$B$23)*(1+$B$23)*(1+$B$23)*(1+$B$23))</f>
        <v>0.62741237134182648</v>
      </c>
      <c r="K24" s="111">
        <f>1/((1+$B$23)*(1+$B$23)*(1+$B$23)*(1+$B$23)*(1+$B$23)*(1+$B$23)*(1+$B$23)*(1+$B$23)*(1+$B$23))</f>
        <v>0.59189846353002495</v>
      </c>
      <c r="L24" s="108"/>
    </row>
    <row r="25" spans="1:12">
      <c r="A25" s="108" t="s">
        <v>184</v>
      </c>
      <c r="B25" s="108">
        <f>B4+B9+B11+B5+B6</f>
        <v>10400000</v>
      </c>
      <c r="C25" s="108">
        <f>C4+C9+C11+C5+C6</f>
        <v>242620474</v>
      </c>
      <c r="D25" s="108">
        <f t="shared" ref="D25:K25" si="5">D4+D9+D11</f>
        <v>312727501.875</v>
      </c>
      <c r="E25" s="108">
        <f t="shared" si="5"/>
        <v>336290789.78214282</v>
      </c>
      <c r="F25" s="108">
        <f t="shared" si="5"/>
        <v>359844428.95928568</v>
      </c>
      <c r="G25" s="108">
        <f t="shared" si="5"/>
        <v>383578345.04242855</v>
      </c>
      <c r="H25" s="108">
        <f t="shared" si="5"/>
        <v>407064223.30242139</v>
      </c>
      <c r="I25" s="108">
        <f t="shared" si="5"/>
        <v>435642288.52752674</v>
      </c>
      <c r="J25" s="108">
        <f t="shared" si="5"/>
        <v>446564053.69264692</v>
      </c>
      <c r="K25" s="108">
        <f t="shared" si="5"/>
        <v>454265202.03825068</v>
      </c>
      <c r="L25" s="108"/>
    </row>
    <row r="26" spans="1:12">
      <c r="A26" s="108" t="s">
        <v>185</v>
      </c>
      <c r="B26" s="108">
        <f>B25*B24</f>
        <v>10400000</v>
      </c>
      <c r="C26" s="108">
        <f>C25*C24</f>
        <v>228887239.62264147</v>
      </c>
      <c r="D26" s="108">
        <f t="shared" ref="D26:K26" si="6">D25*D24</f>
        <v>278326363.36329651</v>
      </c>
      <c r="E26" s="108">
        <f t="shared" si="6"/>
        <v>282356231.80724919</v>
      </c>
      <c r="F26" s="108">
        <f t="shared" si="6"/>
        <v>285030491.9301542</v>
      </c>
      <c r="G26" s="108">
        <f t="shared" si="6"/>
        <v>286632053.26739109</v>
      </c>
      <c r="H26" s="108">
        <f t="shared" si="6"/>
        <v>286964214.85293204</v>
      </c>
      <c r="I26" s="108">
        <f t="shared" si="6"/>
        <v>289727002.9799459</v>
      </c>
      <c r="J26" s="108">
        <f t="shared" si="6"/>
        <v>280179811.88332236</v>
      </c>
      <c r="K26" s="108">
        <f t="shared" si="6"/>
        <v>268878875.12159693</v>
      </c>
      <c r="L26" s="108"/>
    </row>
    <row r="27" spans="1:12">
      <c r="A27" s="108" t="s">
        <v>186</v>
      </c>
      <c r="B27" s="108">
        <f>B10+B12+B14+B16+B18+B20+B7+B13+B8</f>
        <v>9841500</v>
      </c>
      <c r="C27" s="108">
        <f t="shared" ref="C27:K27" si="7">C10+C12+C14+C16+C18+C20+C7+C13</f>
        <v>221726571.125</v>
      </c>
      <c r="D27" s="108">
        <f t="shared" si="7"/>
        <v>288783023.09285718</v>
      </c>
      <c r="E27" s="108">
        <f t="shared" si="7"/>
        <v>308416523.82285714</v>
      </c>
      <c r="F27" s="108">
        <f t="shared" si="7"/>
        <v>327860098.91685718</v>
      </c>
      <c r="G27" s="108">
        <f t="shared" si="7"/>
        <v>347731988.7400071</v>
      </c>
      <c r="H27" s="108">
        <f t="shared" si="7"/>
        <v>362263653.77489465</v>
      </c>
      <c r="I27" s="108">
        <f t="shared" si="7"/>
        <v>381555274.83487976</v>
      </c>
      <c r="J27" s="108">
        <f t="shared" si="7"/>
        <v>384775891.65439618</v>
      </c>
      <c r="K27" s="108">
        <f t="shared" si="7"/>
        <v>384866616.41922045</v>
      </c>
      <c r="L27" s="108"/>
    </row>
    <row r="28" spans="1:12">
      <c r="A28" s="108" t="s">
        <v>187</v>
      </c>
      <c r="B28" s="108">
        <f>B27*B24</f>
        <v>9841500</v>
      </c>
      <c r="C28" s="108">
        <f>C27*C24</f>
        <v>209176010.49528301</v>
      </c>
      <c r="D28" s="108">
        <f t="shared" ref="D28:K28" si="8">D27*D24</f>
        <v>257015862.4891929</v>
      </c>
      <c r="E28" s="108">
        <f t="shared" si="8"/>
        <v>258952460.60746208</v>
      </c>
      <c r="F28" s="108">
        <f t="shared" si="8"/>
        <v>259695906.78063315</v>
      </c>
      <c r="G28" s="108">
        <f t="shared" si="8"/>
        <v>259845570.55293798</v>
      </c>
      <c r="H28" s="108">
        <f t="shared" si="8"/>
        <v>255381581.1468015</v>
      </c>
      <c r="I28" s="108">
        <f t="shared" si="8"/>
        <v>253756049.76906231</v>
      </c>
      <c r="J28" s="108">
        <f t="shared" si="8"/>
        <v>241413154.6180504</v>
      </c>
      <c r="K28" s="108">
        <f t="shared" si="8"/>
        <v>227801958.92253605</v>
      </c>
      <c r="L28" s="108"/>
    </row>
    <row r="29" spans="1:12">
      <c r="A29" s="108"/>
      <c r="B29" s="108"/>
      <c r="C29" s="108"/>
      <c r="D29" s="108"/>
      <c r="E29" s="108"/>
      <c r="F29" s="108"/>
      <c r="G29" s="108"/>
      <c r="H29" s="108"/>
      <c r="I29" s="108"/>
      <c r="J29" s="108"/>
      <c r="K29" s="108"/>
      <c r="L29" s="108"/>
    </row>
    <row r="30" spans="1:12">
      <c r="A30" s="108" t="s">
        <v>188</v>
      </c>
      <c r="B30" s="108">
        <f>B25-B27</f>
        <v>558500</v>
      </c>
      <c r="C30" s="108">
        <f>C25-C27</f>
        <v>20893902.875</v>
      </c>
      <c r="D30" s="108">
        <f>D25-D27</f>
        <v>23944478.782142818</v>
      </c>
      <c r="E30" s="108">
        <f t="shared" ref="E30:K30" si="9">E25-E27</f>
        <v>27874265.959285676</v>
      </c>
      <c r="F30" s="108">
        <f t="shared" si="9"/>
        <v>31984330.042428493</v>
      </c>
      <c r="G30" s="108">
        <f t="shared" si="9"/>
        <v>35846356.302421451</v>
      </c>
      <c r="H30" s="108">
        <f t="shared" si="9"/>
        <v>44800569.527526736</v>
      </c>
      <c r="I30" s="108">
        <f t="shared" si="9"/>
        <v>54087013.69264698</v>
      </c>
      <c r="J30" s="108">
        <f t="shared" si="9"/>
        <v>61788162.038250744</v>
      </c>
      <c r="K30" s="108">
        <f t="shared" si="9"/>
        <v>69398585.619030237</v>
      </c>
      <c r="L30" s="108"/>
    </row>
    <row r="31" spans="1:12">
      <c r="A31" s="108" t="s">
        <v>189</v>
      </c>
      <c r="B31" s="108">
        <f>B26-B28</f>
        <v>558500</v>
      </c>
      <c r="C31" s="108">
        <f>C30*C24</f>
        <v>19711229.127358489</v>
      </c>
      <c r="D31" s="108">
        <f t="shared" ref="D31:K31" si="10">D30*D24</f>
        <v>21310500.874103609</v>
      </c>
      <c r="E31" s="108">
        <f t="shared" si="10"/>
        <v>23403771.199787129</v>
      </c>
      <c r="F31" s="108">
        <f t="shared" si="10"/>
        <v>25334585.149521057</v>
      </c>
      <c r="G31" s="108">
        <f t="shared" si="10"/>
        <v>26786482.714453116</v>
      </c>
      <c r="H31" s="108">
        <f t="shared" si="10"/>
        <v>31582633.706130538</v>
      </c>
      <c r="I31" s="108">
        <f t="shared" si="10"/>
        <v>35970953.210883573</v>
      </c>
      <c r="J31" s="108">
        <f t="shared" si="10"/>
        <v>38766657.265271924</v>
      </c>
      <c r="K31" s="108">
        <f t="shared" si="10"/>
        <v>41076916.19906088</v>
      </c>
      <c r="L31" s="108">
        <f>SUM(C31:K31)</f>
        <v>263943729.44657034</v>
      </c>
    </row>
    <row r="32" spans="1:12">
      <c r="C32" s="54"/>
      <c r="D32" s="54"/>
      <c r="E32" s="54"/>
      <c r="F32" s="54"/>
      <c r="G32" s="54"/>
    </row>
  </sheetData>
  <pageMargins left="0.7" right="0.7" top="0.75" bottom="0.75" header="0.3" footer="0.3"/>
  <pageSetup scale="60" orientation="landscape"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FAADB1-212F-431E-A926-791FC9CE0F57}">
  <sheetPr>
    <pageSetUpPr fitToPage="1"/>
  </sheetPr>
  <dimension ref="A1:K35"/>
  <sheetViews>
    <sheetView workbookViewId="0">
      <selection activeCell="C17" sqref="C17"/>
    </sheetView>
  </sheetViews>
  <sheetFormatPr defaultRowHeight="14"/>
  <cols>
    <col min="1" max="1" width="8.7265625" style="8"/>
    <col min="2" max="2" width="61.81640625" style="8" bestFit="1" customWidth="1"/>
    <col min="3" max="11" width="16.08984375" style="8" bestFit="1" customWidth="1"/>
    <col min="12" max="12" width="12.54296875" style="8" bestFit="1" customWidth="1"/>
    <col min="13" max="16384" width="8.7265625" style="8"/>
  </cols>
  <sheetData>
    <row r="1" spans="1:11">
      <c r="B1" s="7" t="s">
        <v>165</v>
      </c>
    </row>
    <row r="2" spans="1:11">
      <c r="A2" s="134" t="s">
        <v>52</v>
      </c>
      <c r="B2" s="134" t="s">
        <v>3</v>
      </c>
      <c r="C2" s="131" t="s">
        <v>48</v>
      </c>
      <c r="D2" s="131"/>
      <c r="E2" s="131"/>
      <c r="F2" s="131"/>
      <c r="G2" s="131"/>
      <c r="H2" s="131"/>
      <c r="I2" s="131"/>
      <c r="J2" s="131"/>
      <c r="K2" s="131"/>
    </row>
    <row r="3" spans="1:11">
      <c r="A3" s="134"/>
      <c r="B3" s="134"/>
      <c r="C3" s="61" t="s">
        <v>39</v>
      </c>
      <c r="D3" s="61" t="s">
        <v>40</v>
      </c>
      <c r="E3" s="61" t="s">
        <v>41</v>
      </c>
      <c r="F3" s="61" t="s">
        <v>42</v>
      </c>
      <c r="G3" s="61" t="s">
        <v>43</v>
      </c>
      <c r="H3" s="61" t="s">
        <v>44</v>
      </c>
      <c r="I3" s="61" t="s">
        <v>45</v>
      </c>
      <c r="J3" s="61" t="s">
        <v>46</v>
      </c>
      <c r="K3" s="61" t="s">
        <v>47</v>
      </c>
    </row>
    <row r="4" spans="1:11">
      <c r="A4" s="9" t="s">
        <v>300</v>
      </c>
      <c r="B4" s="9" t="s">
        <v>242</v>
      </c>
      <c r="C4" s="112">
        <v>0.7</v>
      </c>
      <c r="D4" s="112">
        <v>0.75</v>
      </c>
      <c r="E4" s="112">
        <v>0.8</v>
      </c>
      <c r="F4" s="112">
        <v>0.85</v>
      </c>
      <c r="G4" s="112">
        <v>0.9</v>
      </c>
      <c r="H4" s="112">
        <v>0.95</v>
      </c>
      <c r="I4" s="112">
        <v>1</v>
      </c>
      <c r="J4" s="112">
        <v>1</v>
      </c>
      <c r="K4" s="112">
        <v>1</v>
      </c>
    </row>
    <row r="5" spans="1:11">
      <c r="A5" s="9" t="s">
        <v>301</v>
      </c>
      <c r="B5" s="9" t="s">
        <v>309</v>
      </c>
      <c r="C5" s="113">
        <f>$C$17*C4</f>
        <v>9142560</v>
      </c>
      <c r="D5" s="113">
        <f t="shared" ref="D5:K5" si="0">$C$17*D4</f>
        <v>9795600</v>
      </c>
      <c r="E5" s="113">
        <f t="shared" si="0"/>
        <v>10448640</v>
      </c>
      <c r="F5" s="113">
        <f t="shared" si="0"/>
        <v>11101680</v>
      </c>
      <c r="G5" s="113">
        <f t="shared" si="0"/>
        <v>11754720</v>
      </c>
      <c r="H5" s="113">
        <f t="shared" si="0"/>
        <v>12407760</v>
      </c>
      <c r="I5" s="113">
        <f t="shared" si="0"/>
        <v>13060800</v>
      </c>
      <c r="J5" s="113">
        <f t="shared" si="0"/>
        <v>13060800</v>
      </c>
      <c r="K5" s="113">
        <f t="shared" si="0"/>
        <v>13060800</v>
      </c>
    </row>
    <row r="6" spans="1:11">
      <c r="A6" s="9" t="s">
        <v>302</v>
      </c>
      <c r="B6" s="9" t="s">
        <v>310</v>
      </c>
      <c r="C6" s="113">
        <f>C5*2/3</f>
        <v>6095040</v>
      </c>
      <c r="D6" s="113">
        <f t="shared" ref="D6:K6" si="1">D5*2/3</f>
        <v>6530400</v>
      </c>
      <c r="E6" s="113">
        <f t="shared" si="1"/>
        <v>6965760</v>
      </c>
      <c r="F6" s="113">
        <f t="shared" si="1"/>
        <v>7401120</v>
      </c>
      <c r="G6" s="113">
        <f t="shared" si="1"/>
        <v>7836480</v>
      </c>
      <c r="H6" s="113">
        <f t="shared" si="1"/>
        <v>8271840</v>
      </c>
      <c r="I6" s="113">
        <f t="shared" si="1"/>
        <v>8707200</v>
      </c>
      <c r="J6" s="113">
        <f t="shared" si="1"/>
        <v>8707200</v>
      </c>
      <c r="K6" s="113">
        <f t="shared" si="1"/>
        <v>8707200</v>
      </c>
    </row>
    <row r="7" spans="1:11">
      <c r="A7" s="9" t="s">
        <v>303</v>
      </c>
      <c r="B7" s="9" t="s">
        <v>311</v>
      </c>
      <c r="C7" s="58">
        <f>C5-C6</f>
        <v>3047520</v>
      </c>
      <c r="D7" s="58">
        <f t="shared" ref="D7:K7" si="2">D5-D6</f>
        <v>3265200</v>
      </c>
      <c r="E7" s="58">
        <f t="shared" si="2"/>
        <v>3482880</v>
      </c>
      <c r="F7" s="58">
        <f t="shared" si="2"/>
        <v>3700560</v>
      </c>
      <c r="G7" s="58">
        <f t="shared" si="2"/>
        <v>3918240</v>
      </c>
      <c r="H7" s="58">
        <f t="shared" si="2"/>
        <v>4135920</v>
      </c>
      <c r="I7" s="58">
        <f t="shared" si="2"/>
        <v>4353600</v>
      </c>
      <c r="J7" s="58">
        <f t="shared" si="2"/>
        <v>4353600</v>
      </c>
      <c r="K7" s="58">
        <f t="shared" si="2"/>
        <v>4353600</v>
      </c>
    </row>
    <row r="8" spans="1:11">
      <c r="A8" s="9" t="s">
        <v>304</v>
      </c>
      <c r="B8" s="9" t="s">
        <v>312</v>
      </c>
      <c r="C8" s="58">
        <f>C6*$D$21</f>
        <v>213326400</v>
      </c>
      <c r="D8" s="58">
        <f>D6*$D$21*1.05</f>
        <v>239992200</v>
      </c>
      <c r="E8" s="58">
        <f t="shared" ref="E8:K8" si="3">E6*$D$21*1.05</f>
        <v>255991680</v>
      </c>
      <c r="F8" s="58">
        <f t="shared" si="3"/>
        <v>271991160</v>
      </c>
      <c r="G8" s="58">
        <f t="shared" si="3"/>
        <v>287990640</v>
      </c>
      <c r="H8" s="58">
        <f t="shared" si="3"/>
        <v>303990120</v>
      </c>
      <c r="I8" s="58">
        <f t="shared" si="3"/>
        <v>319989600</v>
      </c>
      <c r="J8" s="58">
        <f t="shared" si="3"/>
        <v>319989600</v>
      </c>
      <c r="K8" s="58">
        <f t="shared" si="3"/>
        <v>319989600</v>
      </c>
    </row>
    <row r="9" spans="1:11">
      <c r="A9" s="9" t="s">
        <v>305</v>
      </c>
      <c r="B9" s="9" t="s">
        <v>313</v>
      </c>
      <c r="C9" s="58">
        <f>C7*$F$21</f>
        <v>457128</v>
      </c>
      <c r="D9" s="58">
        <f t="shared" ref="D9:K9" si="4">D7*$F$21</f>
        <v>489780</v>
      </c>
      <c r="E9" s="58">
        <f t="shared" si="4"/>
        <v>522432</v>
      </c>
      <c r="F9" s="58">
        <f t="shared" si="4"/>
        <v>555084</v>
      </c>
      <c r="G9" s="58">
        <f t="shared" si="4"/>
        <v>587736</v>
      </c>
      <c r="H9" s="58">
        <f t="shared" si="4"/>
        <v>620388</v>
      </c>
      <c r="I9" s="58">
        <f t="shared" si="4"/>
        <v>653040</v>
      </c>
      <c r="J9" s="58">
        <f t="shared" si="4"/>
        <v>653040</v>
      </c>
      <c r="K9" s="58">
        <f t="shared" si="4"/>
        <v>653040</v>
      </c>
    </row>
    <row r="10" spans="1:11">
      <c r="A10" s="9" t="s">
        <v>306</v>
      </c>
      <c r="B10" s="9" t="s">
        <v>314</v>
      </c>
      <c r="C10" s="58">
        <f>C5/70%</f>
        <v>13060800</v>
      </c>
      <c r="D10" s="58">
        <f t="shared" ref="D10:K10" si="5">D5/70%</f>
        <v>13993714.285714287</v>
      </c>
      <c r="E10" s="58">
        <f t="shared" si="5"/>
        <v>14926628.571428573</v>
      </c>
      <c r="F10" s="58">
        <f t="shared" si="5"/>
        <v>15859542.857142858</v>
      </c>
      <c r="G10" s="58">
        <f t="shared" si="5"/>
        <v>16792457.142857146</v>
      </c>
      <c r="H10" s="58">
        <f t="shared" si="5"/>
        <v>17725371.428571429</v>
      </c>
      <c r="I10" s="58">
        <f t="shared" si="5"/>
        <v>18658285.714285716</v>
      </c>
      <c r="J10" s="58">
        <f t="shared" si="5"/>
        <v>18658285.714285716</v>
      </c>
      <c r="K10" s="58">
        <f t="shared" si="5"/>
        <v>18658285.714285716</v>
      </c>
    </row>
    <row r="11" spans="1:11">
      <c r="A11" s="9" t="s">
        <v>307</v>
      </c>
      <c r="B11" s="9" t="s">
        <v>292</v>
      </c>
      <c r="C11" s="58">
        <f>10%*C5*10</f>
        <v>9142560</v>
      </c>
      <c r="D11" s="58">
        <f t="shared" ref="D11:K11" si="6">10%*D5*10</f>
        <v>9795600</v>
      </c>
      <c r="E11" s="58">
        <f t="shared" si="6"/>
        <v>10448640</v>
      </c>
      <c r="F11" s="58">
        <f t="shared" si="6"/>
        <v>11101680</v>
      </c>
      <c r="G11" s="58">
        <f t="shared" si="6"/>
        <v>11754720</v>
      </c>
      <c r="H11" s="58">
        <f t="shared" si="6"/>
        <v>12407760</v>
      </c>
      <c r="I11" s="58">
        <f t="shared" si="6"/>
        <v>13060800</v>
      </c>
      <c r="J11" s="58">
        <f t="shared" si="6"/>
        <v>13060800</v>
      </c>
      <c r="K11" s="58">
        <f t="shared" si="6"/>
        <v>13060800</v>
      </c>
    </row>
    <row r="12" spans="1:11">
      <c r="A12" s="9" t="s">
        <v>308</v>
      </c>
      <c r="B12" s="9" t="s">
        <v>293</v>
      </c>
      <c r="C12" s="58">
        <f>15%*C5*30</f>
        <v>41141520</v>
      </c>
      <c r="D12" s="58">
        <f t="shared" ref="D12:K12" si="7">15%*D5*30</f>
        <v>44080200</v>
      </c>
      <c r="E12" s="58">
        <f t="shared" si="7"/>
        <v>47018880</v>
      </c>
      <c r="F12" s="58">
        <f t="shared" si="7"/>
        <v>49957560</v>
      </c>
      <c r="G12" s="58">
        <f t="shared" si="7"/>
        <v>52896240</v>
      </c>
      <c r="H12" s="58">
        <f t="shared" si="7"/>
        <v>55834920</v>
      </c>
      <c r="I12" s="58">
        <f t="shared" si="7"/>
        <v>58773600</v>
      </c>
      <c r="J12" s="58">
        <f t="shared" si="7"/>
        <v>58773600</v>
      </c>
      <c r="K12" s="58">
        <f t="shared" si="7"/>
        <v>58773600</v>
      </c>
    </row>
    <row r="13" spans="1:11" s="33" customFormat="1">
      <c r="A13" s="9"/>
      <c r="B13" s="9" t="s">
        <v>276</v>
      </c>
      <c r="C13" s="58">
        <f>C9+C8+C11+C12</f>
        <v>264067608</v>
      </c>
      <c r="D13" s="58">
        <f t="shared" ref="D13:K13" si="8">D9+D8+D11+D12</f>
        <v>294357780</v>
      </c>
      <c r="E13" s="58">
        <f t="shared" si="8"/>
        <v>313981632</v>
      </c>
      <c r="F13" s="58">
        <f t="shared" si="8"/>
        <v>333605484</v>
      </c>
      <c r="G13" s="58">
        <f t="shared" si="8"/>
        <v>353229336</v>
      </c>
      <c r="H13" s="58">
        <f t="shared" si="8"/>
        <v>372853188</v>
      </c>
      <c r="I13" s="58">
        <f t="shared" si="8"/>
        <v>392477040</v>
      </c>
      <c r="J13" s="58">
        <f t="shared" si="8"/>
        <v>392477040</v>
      </c>
      <c r="K13" s="58">
        <f t="shared" si="8"/>
        <v>392477040</v>
      </c>
    </row>
    <row r="14" spans="1:11">
      <c r="C14" s="35"/>
      <c r="D14" s="35"/>
      <c r="E14" s="35"/>
      <c r="F14" s="35"/>
      <c r="G14" s="35"/>
      <c r="H14" s="35"/>
      <c r="I14" s="35"/>
      <c r="J14" s="35"/>
      <c r="K14" s="35"/>
    </row>
    <row r="15" spans="1:11">
      <c r="B15" s="7" t="s">
        <v>266</v>
      </c>
    </row>
    <row r="17" spans="2:11">
      <c r="B17" s="8" t="s">
        <v>241</v>
      </c>
      <c r="C17" s="99">
        <f>3628*16*225</f>
        <v>13060800</v>
      </c>
      <c r="F17" s="114"/>
    </row>
    <row r="18" spans="2:11">
      <c r="B18" s="8" t="s">
        <v>262</v>
      </c>
      <c r="C18" s="115" t="s">
        <v>261</v>
      </c>
    </row>
    <row r="20" spans="2:11" s="124" customFormat="1" ht="58" customHeight="1">
      <c r="B20" s="125" t="s">
        <v>166</v>
      </c>
      <c r="C20" s="126" t="s">
        <v>167</v>
      </c>
      <c r="D20" s="126" t="s">
        <v>264</v>
      </c>
      <c r="E20" s="126" t="s">
        <v>263</v>
      </c>
      <c r="F20" s="126" t="s">
        <v>275</v>
      </c>
    </row>
    <row r="21" spans="2:11" s="117" customFormat="1">
      <c r="B21" s="116" t="s">
        <v>168</v>
      </c>
      <c r="C21" s="118">
        <f>C17</f>
        <v>13060800</v>
      </c>
      <c r="D21" s="119">
        <v>35</v>
      </c>
      <c r="E21" s="119">
        <v>18</v>
      </c>
      <c r="F21" s="116">
        <v>0.15</v>
      </c>
    </row>
    <row r="23" spans="2:11">
      <c r="B23" s="7" t="s">
        <v>265</v>
      </c>
    </row>
    <row r="24" spans="2:11" s="7" customFormat="1">
      <c r="B24" s="141" t="s">
        <v>3</v>
      </c>
      <c r="C24" s="140" t="s">
        <v>48</v>
      </c>
      <c r="D24" s="140"/>
      <c r="E24" s="140"/>
      <c r="F24" s="140"/>
      <c r="G24" s="140"/>
      <c r="H24" s="140"/>
      <c r="I24" s="140"/>
      <c r="J24" s="140"/>
      <c r="K24" s="140"/>
    </row>
    <row r="25" spans="2:11" s="7" customFormat="1">
      <c r="B25" s="141"/>
      <c r="C25" s="123" t="s">
        <v>39</v>
      </c>
      <c r="D25" s="123" t="s">
        <v>40</v>
      </c>
      <c r="E25" s="123" t="s">
        <v>41</v>
      </c>
      <c r="F25" s="123" t="s">
        <v>42</v>
      </c>
      <c r="G25" s="123" t="s">
        <v>43</v>
      </c>
      <c r="H25" s="123" t="s">
        <v>44</v>
      </c>
      <c r="I25" s="123" t="s">
        <v>45</v>
      </c>
      <c r="J25" s="123" t="s">
        <v>46</v>
      </c>
      <c r="K25" s="123" t="s">
        <v>47</v>
      </c>
    </row>
    <row r="26" spans="2:11">
      <c r="B26" s="9" t="s">
        <v>267</v>
      </c>
      <c r="C26" s="97">
        <v>0</v>
      </c>
      <c r="D26" s="84">
        <f>C29</f>
        <v>60950.400000000373</v>
      </c>
      <c r="E26" s="84">
        <f t="shared" ref="E26:K26" si="9">D29</f>
        <v>126254.40000000037</v>
      </c>
      <c r="F26" s="84">
        <f t="shared" si="9"/>
        <v>195912</v>
      </c>
      <c r="G26" s="84">
        <f t="shared" si="9"/>
        <v>269923.20000000019</v>
      </c>
      <c r="H26" s="84">
        <f t="shared" si="9"/>
        <v>348288</v>
      </c>
      <c r="I26" s="84">
        <f t="shared" si="9"/>
        <v>265569.59999999963</v>
      </c>
      <c r="J26" s="84">
        <f t="shared" si="9"/>
        <v>178497.59999999963</v>
      </c>
      <c r="K26" s="84">
        <f t="shared" si="9"/>
        <v>91425.599999999627</v>
      </c>
    </row>
    <row r="27" spans="2:11">
      <c r="B27" s="9" t="s">
        <v>268</v>
      </c>
      <c r="C27" s="84">
        <f>C6</f>
        <v>6095040</v>
      </c>
      <c r="D27" s="84">
        <f t="shared" ref="D27:K27" si="10">D6</f>
        <v>6530400</v>
      </c>
      <c r="E27" s="84">
        <f t="shared" si="10"/>
        <v>6965760</v>
      </c>
      <c r="F27" s="84">
        <f t="shared" si="10"/>
        <v>7401120</v>
      </c>
      <c r="G27" s="84">
        <f t="shared" si="10"/>
        <v>7836480</v>
      </c>
      <c r="H27" s="84">
        <f t="shared" si="10"/>
        <v>8271840</v>
      </c>
      <c r="I27" s="84">
        <f t="shared" si="10"/>
        <v>8707200</v>
      </c>
      <c r="J27" s="84">
        <f t="shared" si="10"/>
        <v>8707200</v>
      </c>
      <c r="K27" s="84">
        <f t="shared" si="10"/>
        <v>8707200</v>
      </c>
    </row>
    <row r="28" spans="2:11">
      <c r="B28" s="9" t="s">
        <v>50</v>
      </c>
      <c r="C28" s="84">
        <f>C6*99%</f>
        <v>6034089.5999999996</v>
      </c>
      <c r="D28" s="84">
        <f t="shared" ref="D28:G28" si="11">D6*99%</f>
        <v>6465096</v>
      </c>
      <c r="E28" s="84">
        <f t="shared" si="11"/>
        <v>6896102.4000000004</v>
      </c>
      <c r="F28" s="84">
        <f t="shared" si="11"/>
        <v>7327108.7999999998</v>
      </c>
      <c r="G28" s="84">
        <f t="shared" si="11"/>
        <v>7758115.2000000002</v>
      </c>
      <c r="H28" s="84">
        <f>H6*101%</f>
        <v>8354558.4000000004</v>
      </c>
      <c r="I28" s="84">
        <f t="shared" ref="I28:K28" si="12">I6*101%</f>
        <v>8794272</v>
      </c>
      <c r="J28" s="84">
        <f t="shared" si="12"/>
        <v>8794272</v>
      </c>
      <c r="K28" s="84">
        <f t="shared" si="12"/>
        <v>8794272</v>
      </c>
    </row>
    <row r="29" spans="2:11">
      <c r="B29" s="9" t="s">
        <v>269</v>
      </c>
      <c r="C29" s="84">
        <f>C26+C27-C28</f>
        <v>60950.400000000373</v>
      </c>
      <c r="D29" s="84">
        <f t="shared" ref="D29:K29" si="13">D26+D27-D28</f>
        <v>126254.40000000037</v>
      </c>
      <c r="E29" s="84">
        <f t="shared" si="13"/>
        <v>195912</v>
      </c>
      <c r="F29" s="84">
        <f t="shared" si="13"/>
        <v>269923.20000000019</v>
      </c>
      <c r="G29" s="84">
        <f t="shared" si="13"/>
        <v>348288</v>
      </c>
      <c r="H29" s="84">
        <f t="shared" si="13"/>
        <v>265569.59999999963</v>
      </c>
      <c r="I29" s="84">
        <f t="shared" si="13"/>
        <v>178497.59999999963</v>
      </c>
      <c r="J29" s="84">
        <f t="shared" si="13"/>
        <v>91425.599999999627</v>
      </c>
      <c r="K29" s="84">
        <f t="shared" si="13"/>
        <v>4353.5999999996275</v>
      </c>
    </row>
    <row r="31" spans="2:11" ht="36" customHeight="1">
      <c r="B31" s="137" t="s">
        <v>273</v>
      </c>
      <c r="C31" s="137"/>
      <c r="D31" s="137"/>
      <c r="E31" s="137"/>
      <c r="F31" s="137"/>
      <c r="G31" s="137"/>
      <c r="H31" s="137"/>
      <c r="I31" s="137"/>
      <c r="J31" s="137"/>
      <c r="K31" s="137"/>
    </row>
    <row r="32" spans="2:11" ht="28.5" customHeight="1">
      <c r="B32" s="137" t="s">
        <v>274</v>
      </c>
      <c r="C32" s="137"/>
      <c r="D32" s="137"/>
      <c r="E32" s="137"/>
      <c r="F32" s="137"/>
      <c r="G32" s="137"/>
      <c r="H32" s="137"/>
      <c r="I32" s="137"/>
      <c r="J32" s="137"/>
      <c r="K32" s="137"/>
    </row>
    <row r="33" spans="2:2">
      <c r="B33" s="8" t="s">
        <v>330</v>
      </c>
    </row>
    <row r="34" spans="2:2">
      <c r="B34" s="8" t="s">
        <v>290</v>
      </c>
    </row>
    <row r="35" spans="2:2">
      <c r="B35" s="8" t="s">
        <v>294</v>
      </c>
    </row>
  </sheetData>
  <mergeCells count="7">
    <mergeCell ref="A2:A3"/>
    <mergeCell ref="C2:K2"/>
    <mergeCell ref="C24:K24"/>
    <mergeCell ref="B31:K31"/>
    <mergeCell ref="B32:K32"/>
    <mergeCell ref="B2:B3"/>
    <mergeCell ref="B24:B25"/>
  </mergeCells>
  <pageMargins left="0.7" right="0.7" top="0.75" bottom="0.75" header="0.3" footer="0.3"/>
  <pageSetup scale="56" orientation="landscape"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20B69F-8F0D-45BD-B703-60FCEF10A70F}">
  <dimension ref="A2:J8"/>
  <sheetViews>
    <sheetView workbookViewId="0">
      <selection activeCell="B3" sqref="B3:F8"/>
    </sheetView>
  </sheetViews>
  <sheetFormatPr defaultRowHeight="14.5"/>
  <cols>
    <col min="1" max="1" width="16.453125" bestFit="1" customWidth="1"/>
  </cols>
  <sheetData>
    <row r="2" spans="1:10">
      <c r="B2" t="s">
        <v>39</v>
      </c>
      <c r="C2" t="s">
        <v>40</v>
      </c>
      <c r="D2" t="s">
        <v>41</v>
      </c>
      <c r="E2" t="s">
        <v>42</v>
      </c>
      <c r="F2" t="s">
        <v>43</v>
      </c>
      <c r="G2" t="s">
        <v>44</v>
      </c>
      <c r="H2" t="s">
        <v>45</v>
      </c>
      <c r="I2" t="s">
        <v>46</v>
      </c>
      <c r="J2" t="s">
        <v>47</v>
      </c>
    </row>
    <row r="3" spans="1:10">
      <c r="A3" t="s">
        <v>190</v>
      </c>
      <c r="B3" s="35">
        <f>'Ann 4'!C21/100000</f>
        <v>2640.6760800000002</v>
      </c>
      <c r="C3" s="35">
        <f>'Ann 4'!D21/100000</f>
        <v>2943.5778</v>
      </c>
      <c r="D3" s="35">
        <f>'Ann 4'!E21/100000</f>
        <v>3139.8163199999999</v>
      </c>
      <c r="E3" s="35">
        <f>'Ann 4'!F21/100000</f>
        <v>3336.0548399999998</v>
      </c>
      <c r="F3" s="35">
        <f>'Ann 4'!G21/100000</f>
        <v>3532.2933600000001</v>
      </c>
      <c r="G3" s="1">
        <f>'Ann 4'!H21/100000</f>
        <v>3728.53188</v>
      </c>
      <c r="H3" s="1">
        <f>'Ann 4'!I21/100000</f>
        <v>3924.7703999999999</v>
      </c>
      <c r="I3" s="1">
        <f>'Ann 4'!J21/100000</f>
        <v>3924.7703999999999</v>
      </c>
      <c r="J3" s="1">
        <f>'Ann 4'!K21/100000</f>
        <v>3924.7703999999999</v>
      </c>
    </row>
    <row r="4" spans="1:10">
      <c r="A4" t="s">
        <v>191</v>
      </c>
      <c r="B4" s="35">
        <f>'Ann 4'!C20/100000</f>
        <v>2621.24548</v>
      </c>
      <c r="C4" s="35">
        <f>'Ann 4'!D20/100000</f>
        <v>2819.203971428572</v>
      </c>
      <c r="D4" s="35">
        <f>'Ann 4'!E20/100000</f>
        <v>3006.5529878571433</v>
      </c>
      <c r="E4" s="35">
        <f>'Ann 4'!F20/100000</f>
        <v>3193.9616915357151</v>
      </c>
      <c r="F4" s="35">
        <f>'Ann 4'!G20/100000</f>
        <v>3381.4330668267862</v>
      </c>
      <c r="G4" s="1">
        <f>'Ann 4'!H20/100000</f>
        <v>3621.9100233109825</v>
      </c>
      <c r="H4" s="1">
        <f>'Ann 4'!I20/100000</f>
        <v>3812.3026032479602</v>
      </c>
      <c r="I4" s="1">
        <f>'Ann 4'!J20/100000</f>
        <v>3813.4911340716308</v>
      </c>
      <c r="J4" s="1">
        <f>'Ann 4'!K20/100000</f>
        <v>3814.7390914364846</v>
      </c>
    </row>
    <row r="5" spans="1:10">
      <c r="A5" t="s">
        <v>192</v>
      </c>
      <c r="B5" s="35">
        <f>B3-B4</f>
        <v>19.43060000000014</v>
      </c>
      <c r="C5" s="35">
        <f t="shared" ref="C5:J5" si="0">C3-C4</f>
        <v>124.37382857142802</v>
      </c>
      <c r="D5" s="35">
        <f t="shared" si="0"/>
        <v>133.2633321428566</v>
      </c>
      <c r="E5" s="35">
        <f t="shared" si="0"/>
        <v>142.0931484642847</v>
      </c>
      <c r="F5" s="35">
        <f t="shared" si="0"/>
        <v>150.8602931732139</v>
      </c>
      <c r="G5" s="1">
        <f t="shared" si="0"/>
        <v>106.62185668901748</v>
      </c>
      <c r="H5" s="1">
        <f t="shared" si="0"/>
        <v>112.4677967520397</v>
      </c>
      <c r="I5" s="1">
        <f t="shared" si="0"/>
        <v>111.27926592836911</v>
      </c>
      <c r="J5" s="1">
        <f t="shared" si="0"/>
        <v>110.03130856351527</v>
      </c>
    </row>
    <row r="6" spans="1:10">
      <c r="A6" t="s">
        <v>193</v>
      </c>
      <c r="B6" s="35">
        <f>B5</f>
        <v>19.43060000000014</v>
      </c>
      <c r="C6" s="35">
        <f t="shared" ref="C6:J6" si="1">C5</f>
        <v>124.37382857142802</v>
      </c>
      <c r="D6" s="35">
        <f t="shared" si="1"/>
        <v>133.2633321428566</v>
      </c>
      <c r="E6" s="35">
        <f t="shared" si="1"/>
        <v>142.0931484642847</v>
      </c>
      <c r="F6" s="35">
        <f t="shared" si="1"/>
        <v>150.8602931732139</v>
      </c>
      <c r="G6" s="1">
        <f t="shared" si="1"/>
        <v>106.62185668901748</v>
      </c>
      <c r="H6" s="1">
        <f t="shared" si="1"/>
        <v>112.4677967520397</v>
      </c>
      <c r="I6" s="1">
        <f t="shared" si="1"/>
        <v>111.27926592836911</v>
      </c>
      <c r="J6" s="1">
        <f t="shared" si="1"/>
        <v>110.03130856351527</v>
      </c>
    </row>
    <row r="7" spans="1:10">
      <c r="A7" t="s">
        <v>194</v>
      </c>
      <c r="B7" s="104">
        <f>'Ann 4'!C33/100000</f>
        <v>-2.0103875000000002</v>
      </c>
      <c r="C7" s="104">
        <f>'Ann 4'!D33/100000</f>
        <v>107.59335357142805</v>
      </c>
      <c r="D7" s="104">
        <f>'Ann 4'!E33/100000</f>
        <v>118.99631714285671</v>
      </c>
      <c r="E7" s="104">
        <f>'Ann 4'!F33/100000</f>
        <v>130.08682621428514</v>
      </c>
      <c r="F7" s="104">
        <f>'Ann 4'!G33/100000</f>
        <v>178.24770283571362</v>
      </c>
      <c r="G7" s="5">
        <f>'Ann 4'!H33/100000</f>
        <v>99.820643119642412</v>
      </c>
      <c r="H7" s="5">
        <f>'Ann 4'!I33/100000</f>
        <v>106.57371667632106</v>
      </c>
      <c r="I7" s="5">
        <f>'Ann 4'!J33/100000</f>
        <v>106.15917667643323</v>
      </c>
      <c r="J7" s="5">
        <f>'Ann 4'!K33/100000</f>
        <v>105.5717461305525</v>
      </c>
    </row>
    <row r="8" spans="1:10">
      <c r="A8" t="s">
        <v>195</v>
      </c>
      <c r="B8" s="104">
        <f>'Ann 4'!C35/100000</f>
        <v>-2.0072712500000001</v>
      </c>
      <c r="C8" s="104">
        <f>'Ann 4'!D35/100000</f>
        <v>75.315347499999646</v>
      </c>
      <c r="D8" s="104">
        <f>'Ann 4'!E35/100000</f>
        <v>83.297421999999699</v>
      </c>
      <c r="E8" s="104">
        <f>'Ann 4'!F35/100000</f>
        <v>91.060778349999595</v>
      </c>
      <c r="F8" s="104">
        <f>'Ann 4'!G35/100000</f>
        <v>135.69339198499955</v>
      </c>
      <c r="G8" s="5">
        <f>'Ann 4'!H35/100000</f>
        <v>69.874450183749687</v>
      </c>
      <c r="H8" s="5">
        <f>'Ann 4'!I35/100000</f>
        <v>74.601601673424724</v>
      </c>
      <c r="I8" s="5">
        <f>'Ann 4'!J35/100000</f>
        <v>74.31142367350327</v>
      </c>
      <c r="J8" s="5">
        <f>'Ann 4'!K35/100000</f>
        <v>73.90022229138674</v>
      </c>
    </row>
  </sheetData>
  <pageMargins left="0.7" right="0.7" top="0.75" bottom="0.75" header="0.3" footer="0.3"/>
  <pageSetup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135DA7-00E0-4D15-8196-E2CB4C255341}">
  <sheetPr>
    <pageSetUpPr fitToPage="1"/>
  </sheetPr>
  <dimension ref="A1:L8"/>
  <sheetViews>
    <sheetView workbookViewId="0">
      <selection activeCell="B2" sqref="B2"/>
    </sheetView>
  </sheetViews>
  <sheetFormatPr defaultRowHeight="14"/>
  <cols>
    <col min="1" max="1" width="8.7265625" style="8"/>
    <col min="2" max="2" width="84" style="8" bestFit="1" customWidth="1"/>
    <col min="3" max="3" width="12.36328125" style="8" bestFit="1" customWidth="1"/>
    <col min="4" max="12" width="12.54296875" style="8" bestFit="1" customWidth="1"/>
    <col min="13" max="16384" width="8.7265625" style="8"/>
  </cols>
  <sheetData>
    <row r="1" spans="1:12">
      <c r="A1" s="7" t="s">
        <v>215</v>
      </c>
      <c r="B1" s="7" t="s">
        <v>216</v>
      </c>
    </row>
    <row r="2" spans="1:12">
      <c r="A2" s="8">
        <v>1</v>
      </c>
      <c r="B2" s="8" t="s">
        <v>299</v>
      </c>
    </row>
    <row r="3" spans="1:12">
      <c r="A3" s="8">
        <v>2</v>
      </c>
      <c r="B3" s="8" t="s">
        <v>217</v>
      </c>
    </row>
    <row r="4" spans="1:12">
      <c r="C4" s="8" t="s">
        <v>170</v>
      </c>
      <c r="D4" s="8">
        <v>50000</v>
      </c>
      <c r="E4" s="8">
        <f>D4*1.05</f>
        <v>52500</v>
      </c>
      <c r="F4" s="8">
        <f t="shared" ref="F4:J4" si="0">E4*1.05</f>
        <v>55125</v>
      </c>
      <c r="G4" s="8">
        <f t="shared" si="0"/>
        <v>57881.25</v>
      </c>
      <c r="H4" s="8">
        <f t="shared" si="0"/>
        <v>60775.3125</v>
      </c>
      <c r="I4" s="8">
        <f t="shared" si="0"/>
        <v>63814.078125</v>
      </c>
      <c r="J4" s="8">
        <f t="shared" si="0"/>
        <v>67004.782031249997</v>
      </c>
      <c r="K4" s="8">
        <f>J4</f>
        <v>67004.782031249997</v>
      </c>
      <c r="L4" s="8">
        <f>K4</f>
        <v>67004.782031249997</v>
      </c>
    </row>
    <row r="5" spans="1:12">
      <c r="C5" s="8" t="s">
        <v>72</v>
      </c>
      <c r="D5" s="8">
        <f>D4*10</f>
        <v>500000</v>
      </c>
      <c r="E5" s="8">
        <f>E4*10</f>
        <v>525000</v>
      </c>
      <c r="F5" s="8">
        <f t="shared" ref="F5:L5" si="1">F4*10</f>
        <v>551250</v>
      </c>
      <c r="G5" s="8">
        <f t="shared" si="1"/>
        <v>578812.5</v>
      </c>
      <c r="H5" s="8">
        <f t="shared" si="1"/>
        <v>607753.125</v>
      </c>
      <c r="I5" s="8">
        <f t="shared" si="1"/>
        <v>638140.78125</v>
      </c>
      <c r="J5" s="8">
        <f t="shared" si="1"/>
        <v>670047.8203125</v>
      </c>
      <c r="K5" s="8">
        <f t="shared" si="1"/>
        <v>670047.8203125</v>
      </c>
      <c r="L5" s="8">
        <f t="shared" si="1"/>
        <v>670047.8203125</v>
      </c>
    </row>
    <row r="6" spans="1:12">
      <c r="A6" s="8">
        <v>3</v>
      </c>
      <c r="B6" s="8" t="s">
        <v>333</v>
      </c>
    </row>
    <row r="7" spans="1:12">
      <c r="A7" s="8">
        <v>4</v>
      </c>
      <c r="B7" s="8" t="s">
        <v>318</v>
      </c>
    </row>
    <row r="8" spans="1:12">
      <c r="A8" s="8">
        <v>5</v>
      </c>
      <c r="B8" s="8" t="s">
        <v>258</v>
      </c>
    </row>
  </sheetData>
  <pageMargins left="0.7" right="0.7" top="0.75" bottom="0.75" header="0.3" footer="0.3"/>
  <pageSetup scale="56" orientation="landscape"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C78DE0-72C3-4C7B-BCE1-80ED309267B8}">
  <dimension ref="A1:K7"/>
  <sheetViews>
    <sheetView workbookViewId="0">
      <selection activeCell="C5" sqref="C5"/>
    </sheetView>
  </sheetViews>
  <sheetFormatPr defaultRowHeight="14.5"/>
  <cols>
    <col min="3" max="3" width="8.81640625" bestFit="1" customWidth="1"/>
    <col min="4" max="5" width="11.81640625" bestFit="1" customWidth="1"/>
    <col min="6" max="6" width="9.81640625" bestFit="1" customWidth="1"/>
    <col min="7" max="11" width="11.81640625" bestFit="1" customWidth="1"/>
  </cols>
  <sheetData>
    <row r="1" spans="1:11">
      <c r="A1" t="s">
        <v>138</v>
      </c>
    </row>
    <row r="2" spans="1:11">
      <c r="C2" t="s">
        <v>39</v>
      </c>
      <c r="D2" t="s">
        <v>40</v>
      </c>
      <c r="E2" t="s">
        <v>41</v>
      </c>
      <c r="F2" t="s">
        <v>42</v>
      </c>
      <c r="G2" t="s">
        <v>43</v>
      </c>
      <c r="H2" t="s">
        <v>44</v>
      </c>
      <c r="I2" t="s">
        <v>45</v>
      </c>
      <c r="J2" t="s">
        <v>46</v>
      </c>
      <c r="K2" t="s">
        <v>47</v>
      </c>
    </row>
    <row r="3" spans="1:11">
      <c r="A3" t="s">
        <v>139</v>
      </c>
      <c r="C3">
        <f>'Ann 4'!C21/300*270</f>
        <v>237660847.19999999</v>
      </c>
      <c r="D3">
        <f>'Ann 4'!D21/300*270</f>
        <v>264922002</v>
      </c>
      <c r="E3">
        <f>'Ann 4'!E21/300*270</f>
        <v>282583468.80000001</v>
      </c>
      <c r="F3">
        <f>'Ann 4'!F21/300*270</f>
        <v>300244935.60000002</v>
      </c>
      <c r="G3">
        <f>'Ann 4'!G21/300*270</f>
        <v>317906402.40000004</v>
      </c>
      <c r="H3">
        <f>'Ann 4'!H21/300*270</f>
        <v>335567869.19999999</v>
      </c>
      <c r="I3">
        <f>'Ann 4'!I21/300*270</f>
        <v>353229336</v>
      </c>
      <c r="J3">
        <f>'Ann 4'!J21/300*270</f>
        <v>353229336</v>
      </c>
      <c r="K3">
        <f>'Ann 4'!K21/300*270</f>
        <v>353229336</v>
      </c>
    </row>
    <row r="4" spans="1:11">
      <c r="A4" t="s">
        <v>140</v>
      </c>
      <c r="C4">
        <v>5000000</v>
      </c>
    </row>
    <row r="5" spans="1:11">
      <c r="A5" t="s">
        <v>141</v>
      </c>
      <c r="C5">
        <v>21492978</v>
      </c>
    </row>
    <row r="7" spans="1:11">
      <c r="A7" t="s">
        <v>142</v>
      </c>
      <c r="C7">
        <f>'Ann 3'!E21</f>
        <v>9378000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18</vt:i4>
      </vt:variant>
    </vt:vector>
  </HeadingPairs>
  <TitlesOfParts>
    <vt:vector size="18" baseType="lpstr">
      <vt:lpstr>Contents</vt:lpstr>
      <vt:lpstr>Ann 1</vt:lpstr>
      <vt:lpstr>Ann 2</vt:lpstr>
      <vt:lpstr>Ann 3</vt:lpstr>
      <vt:lpstr>Ann 4</vt:lpstr>
      <vt:lpstr>Ann 5</vt:lpstr>
      <vt:lpstr>Ann 6</vt:lpstr>
      <vt:lpstr>Ann 8</vt:lpstr>
      <vt:lpstr>Ann 9</vt:lpstr>
      <vt:lpstr>Ann 10</vt:lpstr>
      <vt:lpstr>Ann 11</vt:lpstr>
      <vt:lpstr>Ann 12</vt:lpstr>
      <vt:lpstr>Ann 13</vt:lpstr>
      <vt:lpstr>Ann 14</vt:lpstr>
      <vt:lpstr>Budgets</vt:lpstr>
      <vt:lpstr>For word file</vt:lpstr>
      <vt:lpstr>Assumptions</vt: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Navodita Arya</dc:creator>
  <cp:lastModifiedBy>Ashish Kumar3</cp:lastModifiedBy>
  <cp:lastPrinted>2021-08-04T10:37:11Z</cp:lastPrinted>
  <dcterms:created xsi:type="dcterms:W3CDTF">2021-07-04T07:21:16Z</dcterms:created>
  <dcterms:modified xsi:type="dcterms:W3CDTF">2023-10-12T12:44:04Z</dcterms:modified>
</cp:coreProperties>
</file>